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680" windowHeight="5595" activeTab="0"/>
  </bookViews>
  <sheets>
    <sheet name="Read Me" sheetId="1" r:id="rId1"/>
    <sheet name="1 DT" sheetId="2" r:id="rId2"/>
    <sheet name="Graphs" sheetId="3" r:id="rId3"/>
    <sheet name="Series" sheetId="4" r:id="rId4"/>
    <sheet name="GPE" sheetId="5" r:id="rId5"/>
    <sheet name="Utility" sheetId="6" r:id="rId6"/>
    <sheet name="IState" sheetId="7" r:id="rId7"/>
    <sheet name="Module1" sheetId="8" state="hidden" r:id="rId8"/>
    <sheet name="Module2" sheetId="9" state="hidden" r:id="rId9"/>
  </sheets>
  <definedNames>
    <definedName name="B_2">'1 DT'!$M$36</definedName>
    <definedName name="BOX">'Series'!$C$8:$N$39</definedName>
    <definedName name="Buffer">'Series'!$C$5:$N$5</definedName>
    <definedName name="Capital">'1 DT'!$G$26:$G$31</definedName>
    <definedName name="Chi">'1 DT'!$T$53</definedName>
    <definedName name="DT">'1 DT'!$B$27</definedName>
    <definedName name="Gamma">'1 DT'!$I$20</definedName>
    <definedName name="ICapital">'IState'!$E$28:$E$33</definedName>
    <definedName name="ISave">'IState'!$G$28:$G$49</definedName>
    <definedName name="ISData">'Series'!$S$16:$T$36</definedName>
    <definedName name="IState">'IState'!$I$28:$L$52</definedName>
    <definedName name="ITerm">'IState'!$G$9</definedName>
    <definedName name="IUij">'Utility'!$F$28:$H$31</definedName>
    <definedName name="IVj">'IState'!$J$13:$L$13</definedName>
    <definedName name="IZl">'IState'!$L$52</definedName>
    <definedName name="K_1">'1 DT'!$G$29</definedName>
    <definedName name="K_2">'1 DT'!$G$30</definedName>
    <definedName name="Kappa">'1 DT'!$G$20</definedName>
    <definedName name="NCapital">'1 DT'!$G$84:$G$89</definedName>
    <definedName name="NLINE">'Series'!$C$40</definedName>
    <definedName name="NPV">'1 DT'!$I$60</definedName>
    <definedName name="Nsave">'1 DT'!$I$84:$I$105</definedName>
    <definedName name="NState">'1 DT'!$K$84:$N$108</definedName>
    <definedName name="NTerm">'1 DT'!$I$108</definedName>
    <definedName name="Nu">'1 DT'!$G$9</definedName>
    <definedName name="P0">'1 DT'!$AI$53</definedName>
    <definedName name="PER">'1 DT'!$B$28</definedName>
    <definedName name="Save">'1 DT'!$I$26:$I$47</definedName>
    <definedName name="SData">'Series'!$U$16:$V$36</definedName>
    <definedName name="SIMLEN">'1 DT'!$B$26</definedName>
    <definedName name="State">'1 DT'!$K$26:$N$50</definedName>
    <definedName name="Term">'1 DT'!$I$50</definedName>
    <definedName name="TicToc">'1 DT'!$B$29</definedName>
    <definedName name="Uij">'1 DT'!$AJ$6:$AL$9</definedName>
    <definedName name="Ull">'1 DT'!$AL$9</definedName>
    <definedName name="V0">'1 DT'!$K$9</definedName>
    <definedName name="Vj">'1 DT'!$L$9:$N$9</definedName>
    <definedName name="Z_2">'1 DT'!$AK$6</definedName>
    <definedName name="Z0">'1 DT'!$AI$6</definedName>
    <definedName name="Zl">'1 DT'!$AN$9</definedName>
  </definedNames>
  <calcPr fullCalcOnLoad="1"/>
</workbook>
</file>

<file path=xl/comments2.xml><?xml version="1.0" encoding="utf-8"?>
<comments xmlns="http://schemas.openxmlformats.org/spreadsheetml/2006/main">
  <authors>
    <author/>
  </authors>
  <commentList>
    <comment ref="B4" authorId="0">
      <text>
        <r>
          <rPr>
            <b/>
            <sz val="8"/>
            <color indexed="8"/>
            <rFont val="Tahoma"/>
            <family val="2"/>
          </rPr>
          <t xml:space="preserve">SFEcon theory is explicated at:
    www.sfecon.com
</t>
        </r>
      </text>
    </comment>
    <comment ref="B17" authorId="0">
      <text>
        <r>
          <rPr>
            <b/>
            <sz val="8"/>
            <color indexed="8"/>
            <rFont val="Tahoma"/>
            <family val="2"/>
          </rPr>
          <t xml:space="preserve">The 'Reinitiate' button returns the system's state and parameters to the initial optimal steady state calculated on the GPE, Utility, and IState Sheets.
It also clears away any time-series data generated by prior experiments.
The model should be reinitiated prior to any simulation.
</t>
        </r>
      </text>
    </comment>
    <comment ref="B23" authorId="0">
      <text>
        <r>
          <rPr>
            <b/>
            <sz val="8"/>
            <color indexed="8"/>
            <rFont val="Tahoma"/>
            <family val="2"/>
          </rPr>
          <t xml:space="preserve">Three stimuli are programmed in order to provoke responses from the model:
1.  The 'Plastic' stimulation makes Sector 2 a more efficient user of all its inputs.
2.  The 'Elastic' stimulation deposits a quantity of Good 2 on the market.
3. The 'Monetary' stimulation doubles the amount of every money stock.
Other stimuli can be investigated by directly changing state variables or boundary conditions in this spreadsheet prior to simulation.
</t>
        </r>
      </text>
    </comment>
    <comment ref="B29" authorId="0">
      <text>
        <r>
          <rPr>
            <b/>
            <sz val="8"/>
            <color indexed="8"/>
            <rFont val="Tahoma"/>
            <family val="2"/>
          </rPr>
          <t xml:space="preserve">The simulation parameters, SIMLEN, DT, PER, and TIME are measured in years.
The SIMLEN parameter can be changed at will to alter the period to be simulated.  The other parameters should NOT require alteration.
DT is the diferential element of time between calculations of the model's state via numerical integaration.
PER is the interval at which the model's time radiants are sampled, given the intention to plot thirty points from any series.
TIME marks the emulation's current progress.
</t>
        </r>
        <r>
          <rPr>
            <sz val="8"/>
            <color indexed="8"/>
            <rFont val="Tahoma"/>
            <family val="2"/>
          </rPr>
          <t xml:space="preserve">
</t>
        </r>
      </text>
    </comment>
    <comment ref="B35" authorId="0">
      <text>
        <r>
          <rPr>
            <b/>
            <sz val="8"/>
            <color indexed="8"/>
            <rFont val="Tahoma"/>
            <family val="2"/>
          </rPr>
          <t xml:space="preserve">The 'Simulate Time' button launches the model onto the dimension of time.  Time advances by recursively overlaying the system's current state with its next state, which is computed at one differential time element DT in the future.
This process creates graphically advancing time series as it advances TIME trough the requisite number of DT's needed to arrive the the desired length of simulation SIMLEN.
The process stops automatically when SIMLEN is reached, having sampled the time series generated at intervals defined by PER.  This requires only a few seconds, after which control returns to Excel.
</t>
        </r>
      </text>
    </comment>
    <comment ref="B40" authorId="0">
      <text>
        <r>
          <rPr>
            <b/>
            <sz val="8"/>
            <color indexed="8"/>
            <rFont val="Tahoma"/>
            <family val="2"/>
          </rPr>
          <t xml:space="preserve">The 'One DT' button overlays the model's current state with its next state each time it is clicked.
This feature is intended for use in tracking down instabilities which might result from changes to the model's initial structure.
</t>
        </r>
        <r>
          <rPr>
            <sz val="8"/>
            <color indexed="8"/>
            <rFont val="Tahoma"/>
            <family val="2"/>
          </rPr>
          <t xml:space="preserve">
</t>
        </r>
      </text>
    </comment>
  </commentList>
</comments>
</file>

<file path=xl/sharedStrings.xml><?xml version="1.0" encoding="utf-8"?>
<sst xmlns="http://schemas.openxmlformats.org/spreadsheetml/2006/main" count="717" uniqueCount="226">
  <si>
    <t>L</t>
  </si>
  <si>
    <t>u</t>
  </si>
  <si>
    <t>0</t>
  </si>
  <si>
    <t>1</t>
  </si>
  <si>
    <t>2</t>
  </si>
  <si>
    <t>h</t>
  </si>
  <si>
    <r>
      <t>-</t>
    </r>
    <r>
      <rPr>
        <b/>
        <sz val="10"/>
        <color indexed="16"/>
        <rFont val="Arial"/>
        <family val="2"/>
      </rPr>
      <t xml:space="preserve">N </t>
    </r>
  </si>
  <si>
    <t>e</t>
  </si>
  <si>
    <t>SIMLEN:</t>
  </si>
  <si>
    <t>w</t>
  </si>
  <si>
    <t>b</t>
  </si>
  <si>
    <t>Q</t>
  </si>
  <si>
    <t>Z</t>
  </si>
  <si>
    <t>l</t>
  </si>
  <si>
    <t>Y</t>
  </si>
  <si>
    <t>DT:</t>
  </si>
  <si>
    <t>PER:</t>
  </si>
  <si>
    <t>TIME:</t>
  </si>
  <si>
    <t>Leisure</t>
  </si>
  <si>
    <t>u + e</t>
  </si>
  <si>
    <t>z</t>
  </si>
  <si>
    <t>Wage</t>
  </si>
  <si>
    <t>hz</t>
  </si>
  <si>
    <t>r</t>
  </si>
  <si>
    <t>Time Series of Output, Supply and Demand</t>
  </si>
  <si>
    <t>Time Series of Interest Rates</t>
  </si>
  <si>
    <t>for Good #2</t>
  </si>
  <si>
    <t>and the Currency Value</t>
  </si>
  <si>
    <t>Time Series of Price, Marginal Cost, and</t>
  </si>
  <si>
    <t>Supply and Demand Schedules</t>
  </si>
  <si>
    <t>Marginal Values for Good #2</t>
  </si>
  <si>
    <t>BUFFER -&gt;</t>
  </si>
  <si>
    <t>BOX:</t>
  </si>
  <si>
    <t>year</t>
  </si>
  <si>
    <r>
      <t>Y</t>
    </r>
    <r>
      <rPr>
        <b/>
        <vertAlign val="subscript"/>
        <sz val="12"/>
        <rFont val="Symbol"/>
        <family val="1"/>
      </rPr>
      <t>2</t>
    </r>
  </si>
  <si>
    <r>
      <t>S</t>
    </r>
    <r>
      <rPr>
        <b/>
        <vertAlign val="subscript"/>
        <sz val="12"/>
        <rFont val="Symbol"/>
        <family val="1"/>
      </rPr>
      <t>2</t>
    </r>
  </si>
  <si>
    <r>
      <t>D</t>
    </r>
    <r>
      <rPr>
        <b/>
        <vertAlign val="subscript"/>
        <sz val="12"/>
        <rFont val="Symbol"/>
        <family val="1"/>
      </rPr>
      <t>2</t>
    </r>
  </si>
  <si>
    <r>
      <t>P</t>
    </r>
    <r>
      <rPr>
        <b/>
        <vertAlign val="subscript"/>
        <sz val="10"/>
        <rFont val="Courier New"/>
        <family val="3"/>
      </rPr>
      <t>2</t>
    </r>
  </si>
  <si>
    <r>
      <t>MC</t>
    </r>
    <r>
      <rPr>
        <b/>
        <vertAlign val="subscript"/>
        <sz val="10"/>
        <rFont val="Courier New"/>
        <family val="3"/>
      </rPr>
      <t>2</t>
    </r>
  </si>
  <si>
    <r>
      <t>VMP</t>
    </r>
    <r>
      <rPr>
        <b/>
        <vertAlign val="subscript"/>
        <sz val="10"/>
        <rFont val="Courier New"/>
        <family val="3"/>
      </rPr>
      <t>1</t>
    </r>
  </si>
  <si>
    <r>
      <t>VMP</t>
    </r>
    <r>
      <rPr>
        <b/>
        <vertAlign val="subscript"/>
        <sz val="10"/>
        <rFont val="Courier New"/>
        <family val="3"/>
      </rPr>
      <t>L</t>
    </r>
  </si>
  <si>
    <r>
      <t>P</t>
    </r>
    <r>
      <rPr>
        <b/>
        <vertAlign val="subscript"/>
        <sz val="10"/>
        <rFont val="Courier New"/>
        <family val="3"/>
      </rPr>
      <t>*</t>
    </r>
  </si>
  <si>
    <r>
      <t>b</t>
    </r>
    <r>
      <rPr>
        <vertAlign val="subscript"/>
        <sz val="10"/>
        <rFont val="Symbol"/>
        <family val="1"/>
      </rPr>
      <t>2</t>
    </r>
  </si>
  <si>
    <r>
      <t>Z</t>
    </r>
    <r>
      <rPr>
        <vertAlign val="subscript"/>
        <sz val="10"/>
        <rFont val="Arial"/>
        <family val="2"/>
      </rPr>
      <t>2</t>
    </r>
  </si>
  <si>
    <r>
      <t>U</t>
    </r>
    <r>
      <rPr>
        <vertAlign val="subscript"/>
        <sz val="10"/>
        <rFont val="Arial"/>
        <family val="2"/>
      </rPr>
      <t>1-2-L</t>
    </r>
  </si>
  <si>
    <t>INITIAL</t>
  </si>
  <si>
    <r>
      <t>Q</t>
    </r>
    <r>
      <rPr>
        <vertAlign val="subscript"/>
        <sz val="10"/>
        <rFont val="Arial"/>
        <family val="2"/>
      </rPr>
      <t>1</t>
    </r>
  </si>
  <si>
    <t>s</t>
  </si>
  <si>
    <t>d</t>
  </si>
  <si>
    <t>S</t>
  </si>
  <si>
    <t>D</t>
  </si>
  <si>
    <t>General Equilibrium Prices, $/physical unit</t>
  </si>
  <si>
    <t xml:space="preserve">Experimenters are invited to change </t>
  </si>
  <si>
    <t>Interest Rate</t>
  </si>
  <si>
    <t>$/hour</t>
  </si>
  <si>
    <r>
      <t xml:space="preserve">% return </t>
    </r>
    <r>
      <rPr>
        <b/>
        <sz val="10"/>
        <color indexed="16"/>
        <rFont val="MS Sans Serif"/>
        <family val="2"/>
      </rPr>
      <t xml:space="preserve"> &gt;</t>
    </r>
  </si>
  <si>
    <t>on asset</t>
  </si>
  <si>
    <t>turnover</t>
  </si>
  <si>
    <t>Sector 1:</t>
  </si>
  <si>
    <t>p</t>
  </si>
  <si>
    <t>pq</t>
  </si>
  <si>
    <r>
      <t xml:space="preserve">x </t>
    </r>
    <r>
      <rPr>
        <b/>
        <sz val="10"/>
        <color indexed="16"/>
        <rFont val="MS Sans Serif"/>
        <family val="2"/>
      </rPr>
      <t>&gt;</t>
    </r>
  </si>
  <si>
    <r>
      <t>Q</t>
    </r>
    <r>
      <rPr>
        <b/>
        <vertAlign val="subscript"/>
        <sz val="10"/>
        <color indexed="16"/>
        <rFont val="Arial"/>
        <family val="2"/>
      </rPr>
      <t>1</t>
    </r>
    <r>
      <rPr>
        <b/>
        <sz val="10"/>
        <color indexed="16"/>
        <rFont val="Arial"/>
        <family val="2"/>
      </rPr>
      <t xml:space="preserve"> </t>
    </r>
    <r>
      <rPr>
        <b/>
        <sz val="10"/>
        <color indexed="16"/>
        <rFont val="MS Sans Serif"/>
        <family val="2"/>
      </rPr>
      <t>&gt;</t>
    </r>
  </si>
  <si>
    <t>a</t>
  </si>
  <si>
    <r>
      <t>Q</t>
    </r>
    <r>
      <rPr>
        <b/>
        <vertAlign val="subscript"/>
        <sz val="10"/>
        <color indexed="16"/>
        <rFont val="Arial"/>
        <family val="2"/>
      </rPr>
      <t>2</t>
    </r>
    <r>
      <rPr>
        <b/>
        <sz val="10"/>
        <color indexed="16"/>
        <rFont val="Arial"/>
        <family val="2"/>
      </rPr>
      <t xml:space="preserve"> </t>
    </r>
    <r>
      <rPr>
        <b/>
        <sz val="10"/>
        <color indexed="16"/>
        <rFont val="MS Sans Serif"/>
        <family val="2"/>
      </rPr>
      <t>&gt;</t>
    </r>
  </si>
  <si>
    <r>
      <t>Q</t>
    </r>
    <r>
      <rPr>
        <b/>
        <vertAlign val="subscript"/>
        <sz val="10"/>
        <color indexed="16"/>
        <rFont val="Arial"/>
        <family val="2"/>
      </rPr>
      <t>L</t>
    </r>
    <r>
      <rPr>
        <b/>
        <sz val="10"/>
        <color indexed="16"/>
        <rFont val="Arial"/>
        <family val="2"/>
      </rPr>
      <t xml:space="preserve"> </t>
    </r>
    <r>
      <rPr>
        <b/>
        <sz val="10"/>
        <color indexed="16"/>
        <rFont val="MS Sans Serif"/>
        <family val="2"/>
      </rPr>
      <t>&gt;</t>
    </r>
  </si>
  <si>
    <t>c</t>
  </si>
  <si>
    <t>^ P</t>
  </si>
  <si>
    <t>pu</t>
  </si>
  <si>
    <r>
      <t xml:space="preserve">Z  </t>
    </r>
    <r>
      <rPr>
        <b/>
        <sz val="10"/>
        <color indexed="16"/>
        <rFont val="MS Sans Serif"/>
        <family val="2"/>
      </rPr>
      <t>&lt;</t>
    </r>
  </si>
  <si>
    <t xml:space="preserve">B   </t>
  </si>
  <si>
    <r>
      <t>U</t>
    </r>
    <r>
      <rPr>
        <b/>
        <vertAlign val="subscript"/>
        <sz val="10"/>
        <color indexed="16"/>
        <rFont val="Arial"/>
        <family val="2"/>
      </rPr>
      <t>1</t>
    </r>
    <r>
      <rPr>
        <b/>
        <sz val="10"/>
        <color indexed="16"/>
        <rFont val="Arial"/>
        <family val="2"/>
      </rPr>
      <t xml:space="preserve"> </t>
    </r>
    <r>
      <rPr>
        <b/>
        <sz val="10"/>
        <color indexed="16"/>
        <rFont val="MS Sans Serif"/>
        <family val="2"/>
      </rPr>
      <t>&lt;</t>
    </r>
  </si>
  <si>
    <t>C</t>
  </si>
  <si>
    <r>
      <t>U</t>
    </r>
    <r>
      <rPr>
        <b/>
        <vertAlign val="subscript"/>
        <sz val="10"/>
        <color indexed="16"/>
        <rFont val="Arial"/>
        <family val="2"/>
      </rPr>
      <t>2</t>
    </r>
    <r>
      <rPr>
        <b/>
        <sz val="10"/>
        <color indexed="16"/>
        <rFont val="Arial"/>
        <family val="2"/>
      </rPr>
      <t xml:space="preserve"> </t>
    </r>
    <r>
      <rPr>
        <b/>
        <sz val="10"/>
        <color indexed="16"/>
        <rFont val="MS Sans Serif"/>
        <family val="2"/>
      </rPr>
      <t>&lt;</t>
    </r>
  </si>
  <si>
    <r>
      <t>S</t>
    </r>
    <r>
      <rPr>
        <b/>
        <vertAlign val="subscript"/>
        <sz val="10"/>
        <color indexed="16"/>
        <rFont val="Arial"/>
        <family val="2"/>
      </rPr>
      <t>1</t>
    </r>
  </si>
  <si>
    <r>
      <t>U</t>
    </r>
    <r>
      <rPr>
        <b/>
        <vertAlign val="subscript"/>
        <sz val="10"/>
        <color indexed="16"/>
        <rFont val="Arial"/>
        <family val="2"/>
      </rPr>
      <t>L</t>
    </r>
    <r>
      <rPr>
        <b/>
        <sz val="10"/>
        <color indexed="16"/>
        <rFont val="Arial"/>
        <family val="2"/>
      </rPr>
      <t xml:space="preserve"> </t>
    </r>
    <r>
      <rPr>
        <b/>
        <sz val="10"/>
        <color indexed="16"/>
        <rFont val="MS Sans Serif"/>
        <family val="2"/>
      </rPr>
      <t>&lt;</t>
    </r>
  </si>
  <si>
    <r>
      <t>S</t>
    </r>
    <r>
      <rPr>
        <b/>
        <vertAlign val="subscript"/>
        <sz val="10"/>
        <color indexed="16"/>
        <rFont val="Arial"/>
        <family val="2"/>
      </rPr>
      <t>2</t>
    </r>
  </si>
  <si>
    <t>Sector 2:</t>
  </si>
  <si>
    <t>Sectors' Production and Utility Tradeoffs, physical units/year</t>
  </si>
  <si>
    <t>Sector L:</t>
  </si>
  <si>
    <t>Commodities' Turnover Fractions, dimensionless/year</t>
  </si>
  <si>
    <t>P</t>
  </si>
  <si>
    <r>
      <t>G</t>
    </r>
    <r>
      <rPr>
        <b/>
        <sz val="12"/>
        <rFont val="Symbol"/>
        <family val="1"/>
      </rPr>
      <t>/</t>
    </r>
    <r>
      <rPr>
        <b/>
        <sz val="10"/>
        <color indexed="17"/>
        <rFont val="Arial"/>
        <family val="2"/>
      </rPr>
      <t>$</t>
    </r>
  </si>
  <si>
    <t>appears within the marquee.</t>
  </si>
  <si>
    <r>
      <t>l/</t>
    </r>
    <r>
      <rPr>
        <b/>
        <sz val="10"/>
        <color indexed="12"/>
        <rFont val="Arial"/>
        <family val="2"/>
      </rPr>
      <t>Z</t>
    </r>
  </si>
  <si>
    <t>V</t>
  </si>
  <si>
    <t>A</t>
  </si>
  <si>
    <t>B</t>
  </si>
  <si>
    <t>H</t>
  </si>
  <si>
    <r>
      <t>U</t>
    </r>
  </si>
  <si>
    <t>E</t>
  </si>
  <si>
    <r>
      <t>H</t>
    </r>
    <r>
      <rPr>
        <b/>
        <sz val="12"/>
        <color indexed="17"/>
        <rFont val="Symbol"/>
        <family val="1"/>
      </rPr>
      <t>z</t>
    </r>
  </si>
  <si>
    <r>
      <t>R</t>
    </r>
    <r>
      <rPr>
        <b/>
        <sz val="10"/>
        <color indexed="16"/>
        <rFont val="MS Sans Serif"/>
        <family val="2"/>
      </rPr>
      <t xml:space="preserve"> </t>
    </r>
  </si>
  <si>
    <t>W</t>
  </si>
  <si>
    <r>
      <t>m</t>
    </r>
  </si>
  <si>
    <t>F</t>
  </si>
  <si>
    <t>__</t>
  </si>
  <si>
    <t>U</t>
  </si>
  <si>
    <t>PR</t>
  </si>
  <si>
    <t>R</t>
  </si>
  <si>
    <r>
      <t xml:space="preserve"> </t>
    </r>
    <r>
      <rPr>
        <b/>
        <sz val="10"/>
        <color indexed="16"/>
        <rFont val="MS Sans Serif"/>
        <family val="2"/>
      </rPr>
      <t>&lt;</t>
    </r>
    <r>
      <rPr>
        <b/>
        <sz val="10"/>
        <color indexed="16"/>
        <rFont val="Arial"/>
        <family val="2"/>
      </rPr>
      <t xml:space="preserve"> Demand</t>
    </r>
  </si>
  <si>
    <t xml:space="preserve">    Change</t>
  </si>
  <si>
    <r>
      <t xml:space="preserve"> </t>
    </r>
    <r>
      <rPr>
        <b/>
        <sz val="10"/>
        <color indexed="16"/>
        <rFont val="MS Sans Serif"/>
        <family val="2"/>
      </rPr>
      <t>&lt;</t>
    </r>
    <r>
      <rPr>
        <b/>
        <sz val="10"/>
        <color indexed="16"/>
        <rFont val="Arial"/>
        <family val="2"/>
      </rPr>
      <t xml:space="preserve"> eXports  ( </t>
    </r>
    <r>
      <rPr>
        <b/>
        <sz val="12"/>
        <color indexed="16"/>
        <rFont val="Symbol"/>
        <family val="1"/>
      </rPr>
      <t>+</t>
    </r>
    <r>
      <rPr>
        <b/>
        <sz val="10"/>
        <color indexed="16"/>
        <rFont val="Arial"/>
        <family val="2"/>
      </rPr>
      <t xml:space="preserve"> )</t>
    </r>
  </si>
  <si>
    <r>
      <t xml:space="preserve"> </t>
    </r>
    <r>
      <rPr>
        <b/>
        <sz val="10"/>
        <color indexed="16"/>
        <rFont val="MS Sans Serif"/>
        <family val="2"/>
      </rPr>
      <t>&lt;</t>
    </r>
    <r>
      <rPr>
        <b/>
        <sz val="10"/>
        <color indexed="16"/>
        <rFont val="Arial"/>
        <family val="2"/>
      </rPr>
      <t xml:space="preserve"> Rates of</t>
    </r>
  </si>
  <si>
    <r>
      <t>b</t>
    </r>
    <r>
      <rPr>
        <vertAlign val="subscript"/>
        <sz val="10"/>
        <rFont val="Symbol"/>
        <family val="1"/>
      </rPr>
      <t>1-2-</t>
    </r>
    <r>
      <rPr>
        <vertAlign val="subscript"/>
        <sz val="10"/>
        <rFont val="Arial"/>
        <family val="2"/>
      </rPr>
      <t>L</t>
    </r>
  </si>
  <si>
    <t>t</t>
  </si>
  <si>
    <t>n</t>
  </si>
  <si>
    <t>k</t>
  </si>
  <si>
    <t>g</t>
  </si>
  <si>
    <r>
      <t>PR</t>
    </r>
  </si>
  <si>
    <r>
      <t xml:space="preserve">Balance </t>
    </r>
    <r>
      <rPr>
        <b/>
        <sz val="10"/>
        <color indexed="17"/>
        <rFont val="MS Sans Serif"/>
        <family val="2"/>
      </rPr>
      <t>&gt;</t>
    </r>
  </si>
  <si>
    <r>
      <t xml:space="preserve">Consumption </t>
    </r>
    <r>
      <rPr>
        <b/>
        <sz val="10"/>
        <color indexed="17"/>
        <rFont val="MS Sans Serif"/>
        <family val="2"/>
      </rPr>
      <t>&gt;</t>
    </r>
  </si>
  <si>
    <t>$/$</t>
  </si>
  <si>
    <t xml:space="preserve">    Optimal</t>
  </si>
  <si>
    <t>Investment</t>
  </si>
  <si>
    <t>Saving</t>
  </si>
  <si>
    <t>PU</t>
  </si>
  <si>
    <r>
      <t xml:space="preserve">    imports ( </t>
    </r>
    <r>
      <rPr>
        <b/>
        <sz val="12"/>
        <color indexed="16"/>
        <rFont val="Symbol"/>
        <family val="1"/>
      </rPr>
      <t>-</t>
    </r>
    <r>
      <rPr>
        <b/>
        <sz val="10"/>
        <color indexed="16"/>
        <rFont val="Arial"/>
        <family val="2"/>
      </rPr>
      <t xml:space="preserve"> )</t>
    </r>
  </si>
  <si>
    <r>
      <t xml:space="preserve">S/D Schedules </t>
    </r>
    <r>
      <rPr>
        <b/>
        <sz val="10"/>
        <color indexed="16"/>
        <rFont val="MS Sans Serif"/>
        <family val="2"/>
      </rPr>
      <t>&gt;</t>
    </r>
  </si>
  <si>
    <r>
      <t xml:space="preserve">Values of </t>
    </r>
    <r>
      <rPr>
        <b/>
        <sz val="10"/>
        <color indexed="16"/>
        <rFont val="MS Sans Serif"/>
        <family val="2"/>
      </rPr>
      <t xml:space="preserve">&gt; </t>
    </r>
  </si>
  <si>
    <r>
      <t xml:space="preserve"> </t>
    </r>
    <r>
      <rPr>
        <b/>
        <sz val="10"/>
        <color indexed="16"/>
        <rFont val="MS Sans Serif"/>
        <family val="2"/>
      </rPr>
      <t>&lt;</t>
    </r>
    <r>
      <rPr>
        <b/>
        <sz val="10"/>
        <color indexed="16"/>
        <rFont val="Arial"/>
        <family val="2"/>
      </rPr>
      <t xml:space="preserve"> Factors</t>
    </r>
  </si>
  <si>
    <t xml:space="preserve">    Demand</t>
  </si>
  <si>
    <r>
      <t xml:space="preserve">of Utility </t>
    </r>
    <r>
      <rPr>
        <b/>
        <sz val="10"/>
        <color indexed="16"/>
        <rFont val="MS Sans Serif"/>
        <family val="2"/>
      </rPr>
      <t xml:space="preserve">&gt; </t>
    </r>
  </si>
  <si>
    <t>b = e/w</t>
  </si>
  <si>
    <r>
      <t xml:space="preserve"> </t>
    </r>
    <r>
      <rPr>
        <b/>
        <sz val="10"/>
        <color indexed="16"/>
        <rFont val="MS Sans Serif"/>
        <family val="2"/>
      </rPr>
      <t>&lt;</t>
    </r>
    <r>
      <rPr>
        <b/>
        <sz val="10"/>
        <color indexed="16"/>
        <rFont val="Arial"/>
        <family val="2"/>
      </rPr>
      <t xml:space="preserve"> Supply</t>
    </r>
  </si>
  <si>
    <r>
      <t xml:space="preserve"> </t>
    </r>
    <r>
      <rPr>
        <b/>
        <sz val="10"/>
        <color indexed="12"/>
        <rFont val="MS Sans Serif"/>
        <family val="2"/>
      </rPr>
      <t>&lt;</t>
    </r>
    <r>
      <rPr>
        <b/>
        <sz val="10"/>
        <color indexed="12"/>
        <rFont val="Arial"/>
        <family val="2"/>
      </rPr>
      <t xml:space="preserve"> Output  ( </t>
    </r>
    <r>
      <rPr>
        <b/>
        <sz val="12"/>
        <color indexed="12"/>
        <rFont val="Symbol"/>
        <family val="1"/>
      </rPr>
      <t>-</t>
    </r>
    <r>
      <rPr>
        <b/>
        <sz val="10"/>
        <color indexed="12"/>
        <rFont val="Arial"/>
        <family val="2"/>
      </rPr>
      <t xml:space="preserve"> )</t>
    </r>
  </si>
  <si>
    <t xml:space="preserve">Cost of Sales   </t>
  </si>
  <si>
    <t xml:space="preserve">Trade   </t>
  </si>
  <si>
    <t xml:space="preserve">Minus Wages   </t>
  </si>
  <si>
    <t xml:space="preserve">Interaction   </t>
  </si>
  <si>
    <t xml:space="preserve">with Prices   </t>
  </si>
  <si>
    <t xml:space="preserve">Marginal Product   </t>
  </si>
  <si>
    <t xml:space="preserve">Intersection of   </t>
  </si>
  <si>
    <r>
      <t xml:space="preserve">Minus Sales </t>
    </r>
    <r>
      <rPr>
        <b/>
        <sz val="10"/>
        <color indexed="17"/>
        <rFont val="MS Sans Serif"/>
        <family val="2"/>
      </rPr>
      <t>&gt;</t>
    </r>
  </si>
  <si>
    <r>
      <t xml:space="preserve">   $</t>
    </r>
    <r>
      <rPr>
        <b/>
        <sz val="10"/>
        <rFont val="Arial"/>
        <family val="2"/>
      </rPr>
      <t>/unit</t>
    </r>
  </si>
  <si>
    <t>Spatial Parameters,</t>
  </si>
  <si>
    <t>i.e.: production and</t>
  </si>
  <si>
    <r>
      <t xml:space="preserve">utility tradeoffs </t>
    </r>
    <r>
      <rPr>
        <b/>
        <sz val="10"/>
        <color indexed="16"/>
        <rFont val="MS Sans Serif"/>
        <family val="2"/>
      </rPr>
      <t>&gt;</t>
    </r>
  </si>
  <si>
    <r>
      <t xml:space="preserve">     </t>
    </r>
    <r>
      <rPr>
        <b/>
        <sz val="10"/>
        <color indexed="16"/>
        <rFont val="Arial"/>
        <family val="2"/>
      </rPr>
      <t>System State</t>
    </r>
  </si>
  <si>
    <r>
      <t xml:space="preserve">     </t>
    </r>
    <r>
      <rPr>
        <b/>
        <sz val="10"/>
        <color indexed="16"/>
        <rFont val="Arial"/>
        <family val="2"/>
      </rPr>
      <t>at time = t</t>
    </r>
    <r>
      <rPr>
        <b/>
        <sz val="12"/>
        <color indexed="16"/>
        <rFont val="Symbol"/>
        <family val="1"/>
      </rPr>
      <t xml:space="preserve"> </t>
    </r>
    <r>
      <rPr>
        <b/>
        <sz val="10"/>
        <color indexed="16"/>
        <rFont val="MS Sans Serif"/>
        <family val="2"/>
      </rPr>
      <t>&gt;</t>
    </r>
  </si>
  <si>
    <r>
      <t xml:space="preserve">     at time = 0</t>
    </r>
    <r>
      <rPr>
        <b/>
        <sz val="12"/>
        <color indexed="16"/>
        <rFont val="Symbol"/>
        <family val="1"/>
      </rPr>
      <t xml:space="preserve"> </t>
    </r>
    <r>
      <rPr>
        <b/>
        <sz val="10"/>
        <color indexed="16"/>
        <rFont val="MS Sans Serif"/>
        <family val="2"/>
      </rPr>
      <t>&gt;</t>
    </r>
  </si>
  <si>
    <t xml:space="preserve">    E    </t>
  </si>
  <si>
    <t xml:space="preserve">    U + E </t>
  </si>
  <si>
    <t>NPV</t>
  </si>
  <si>
    <r>
      <t xml:space="preserve">- </t>
    </r>
    <r>
      <rPr>
        <b/>
        <sz val="10"/>
        <color indexed="17"/>
        <rFont val="Arial"/>
        <family val="2"/>
      </rPr>
      <t xml:space="preserve">PU        </t>
    </r>
  </si>
  <si>
    <t xml:space="preserve">  </t>
  </si>
  <si>
    <r>
      <t>&lt;</t>
    </r>
    <r>
      <rPr>
        <b/>
        <sz val="10"/>
        <color indexed="17"/>
        <rFont val="Arial"/>
        <family val="2"/>
      </rPr>
      <t xml:space="preserve"> Monetary</t>
    </r>
  </si>
  <si>
    <t xml:space="preserve">   Transactions</t>
  </si>
  <si>
    <r>
      <t xml:space="preserve">1/(N </t>
    </r>
    <r>
      <rPr>
        <b/>
        <sz val="12"/>
        <color indexed="16"/>
        <rFont val="Symbol"/>
        <family val="1"/>
      </rPr>
      <t>+</t>
    </r>
    <r>
      <rPr>
        <b/>
        <sz val="10"/>
        <color indexed="16"/>
        <rFont val="Arial"/>
        <family val="2"/>
      </rPr>
      <t xml:space="preserve"> 1)</t>
    </r>
  </si>
  <si>
    <r>
      <t xml:space="preserve">any data set in </t>
    </r>
    <r>
      <rPr>
        <b/>
        <sz val="12"/>
        <color indexed="10"/>
        <rFont val="Arial"/>
        <family val="2"/>
      </rPr>
      <t>red</t>
    </r>
    <r>
      <rPr>
        <b/>
        <sz val="12"/>
        <rFont val="Arial"/>
        <family val="2"/>
      </rPr>
      <t xml:space="preserve"> type that</t>
    </r>
  </si>
  <si>
    <r>
      <t>(1</t>
    </r>
    <r>
      <rPr>
        <b/>
        <sz val="12"/>
        <color indexed="16"/>
        <rFont val="Symbol"/>
        <family val="1"/>
      </rPr>
      <t>-</t>
    </r>
    <r>
      <rPr>
        <b/>
        <sz val="10"/>
        <color indexed="16"/>
        <rFont val="Arial"/>
        <family val="2"/>
      </rPr>
      <t>1/</t>
    </r>
    <r>
      <rPr>
        <b/>
        <sz val="8"/>
        <color indexed="16"/>
        <rFont val="Arial"/>
        <family val="2"/>
      </rPr>
      <t>NPV</t>
    </r>
    <r>
      <rPr>
        <b/>
        <sz val="10"/>
        <color indexed="16"/>
        <rFont val="Arial"/>
        <family val="2"/>
      </rPr>
      <t xml:space="preserve">)/T  </t>
    </r>
  </si>
  <si>
    <r>
      <t xml:space="preserve">Dividends </t>
    </r>
    <r>
      <rPr>
        <b/>
        <sz val="10"/>
        <color indexed="17"/>
        <rFont val="MS Sans Serif"/>
        <family val="2"/>
      </rPr>
      <t>&gt;</t>
    </r>
  </si>
  <si>
    <t>- n</t>
  </si>
  <si>
    <r>
      <t>1</t>
    </r>
    <r>
      <rPr>
        <b/>
        <sz val="12"/>
        <color indexed="16"/>
        <rFont val="Symbol"/>
        <family val="1"/>
      </rPr>
      <t xml:space="preserve"> - n</t>
    </r>
  </si>
  <si>
    <r>
      <t xml:space="preserve">   </t>
    </r>
    <r>
      <rPr>
        <b/>
        <sz val="10"/>
        <color indexed="16"/>
        <rFont val="MS Sans Serif"/>
        <family val="2"/>
      </rPr>
      <t>&lt;</t>
    </r>
    <r>
      <rPr>
        <b/>
        <sz val="10"/>
        <color indexed="16"/>
        <rFont val="Arial"/>
        <family val="2"/>
      </rPr>
      <t xml:space="preserve"> Investment Term, T yrs.</t>
    </r>
  </si>
  <si>
    <t>-n</t>
  </si>
  <si>
    <r>
      <t xml:space="preserve">  &lt;</t>
    </r>
    <r>
      <rPr>
        <b/>
        <sz val="10"/>
        <color indexed="16"/>
        <rFont val="Arial"/>
        <family val="2"/>
      </rPr>
      <t xml:space="preserve"> Production</t>
    </r>
  </si>
  <si>
    <r>
      <t xml:space="preserve">Prices </t>
    </r>
    <r>
      <rPr>
        <b/>
        <sz val="10"/>
        <color indexed="16"/>
        <rFont val="MS Sans Serif"/>
        <family val="2"/>
      </rPr>
      <t xml:space="preserve">&gt; </t>
    </r>
  </si>
  <si>
    <t>FI</t>
  </si>
  <si>
    <t>Maturing</t>
  </si>
  <si>
    <r>
      <t xml:space="preserve">Principal </t>
    </r>
    <r>
      <rPr>
        <b/>
        <sz val="10"/>
        <color indexed="17"/>
        <rFont val="MS Sans Serif"/>
        <family val="2"/>
      </rPr>
      <t>&gt;</t>
    </r>
  </si>
  <si>
    <t>hb</t>
  </si>
  <si>
    <r>
      <t>H</t>
    </r>
    <r>
      <rPr>
        <b/>
        <sz val="12"/>
        <color indexed="17"/>
        <rFont val="Symbol"/>
        <family val="1"/>
      </rPr>
      <t>b</t>
    </r>
  </si>
  <si>
    <r>
      <t xml:space="preserve">- </t>
    </r>
    <r>
      <rPr>
        <b/>
        <sz val="10"/>
        <color indexed="12"/>
        <rFont val="Arial"/>
        <family val="2"/>
      </rPr>
      <t>Y/</t>
    </r>
    <r>
      <rPr>
        <b/>
        <sz val="12"/>
        <color indexed="12"/>
        <rFont val="Symbol"/>
        <family val="1"/>
      </rPr>
      <t>l</t>
    </r>
  </si>
  <si>
    <r>
      <t>(</t>
    </r>
    <r>
      <rPr>
        <b/>
        <sz val="12"/>
        <color indexed="12"/>
        <rFont val="Symbol"/>
        <family val="1"/>
      </rPr>
      <t>t+</t>
    </r>
    <r>
      <rPr>
        <b/>
        <sz val="10"/>
        <color indexed="12"/>
        <rFont val="Arial"/>
        <family val="2"/>
      </rPr>
      <t>Y)</t>
    </r>
    <r>
      <rPr>
        <b/>
        <sz val="12"/>
        <color indexed="12"/>
        <rFont val="Symbol"/>
        <family val="1"/>
      </rPr>
      <t xml:space="preserve"> </t>
    </r>
    <r>
      <rPr>
        <b/>
        <sz val="10"/>
        <color indexed="12"/>
        <rFont val="Arial"/>
        <family val="2"/>
      </rPr>
      <t>/</t>
    </r>
    <r>
      <rPr>
        <b/>
        <sz val="12"/>
        <color indexed="12"/>
        <rFont val="Symbol"/>
        <family val="1"/>
      </rPr>
      <t>l</t>
    </r>
  </si>
  <si>
    <r>
      <t xml:space="preserve">  </t>
    </r>
    <r>
      <rPr>
        <b/>
        <u val="single"/>
        <sz val="10"/>
        <color indexed="16"/>
        <rFont val="Arial"/>
        <family val="2"/>
      </rPr>
      <t xml:space="preserve">     1      </t>
    </r>
  </si>
  <si>
    <t>&gt;</t>
  </si>
  <si>
    <t>¡</t>
  </si>
  <si>
    <t>hQ</t>
  </si>
  <si>
    <t>Value</t>
  </si>
  <si>
    <t xml:space="preserve">    Interaction</t>
  </si>
  <si>
    <t xml:space="preserve">    with Values</t>
  </si>
  <si>
    <t>U + E</t>
  </si>
  <si>
    <r>
      <t>H</t>
    </r>
    <r>
      <rPr>
        <b/>
        <sz val="12"/>
        <color indexed="59"/>
        <rFont val="Symbol"/>
        <family val="1"/>
      </rPr>
      <t>Q</t>
    </r>
  </si>
  <si>
    <r>
      <t xml:space="preserve">Currency </t>
    </r>
    <r>
      <rPr>
        <b/>
        <sz val="10"/>
        <color indexed="16"/>
        <rFont val="MS Sans Serif"/>
        <family val="2"/>
      </rPr>
      <t xml:space="preserve">&gt; </t>
    </r>
  </si>
  <si>
    <r>
      <t>Y</t>
    </r>
    <r>
      <rPr>
        <b/>
        <sz val="10"/>
        <color indexed="16"/>
        <rFont val="MS Sans Serif"/>
        <family val="2"/>
      </rPr>
      <t xml:space="preserve"> </t>
    </r>
  </si>
  <si>
    <r>
      <t>Y</t>
    </r>
    <r>
      <rPr>
        <b/>
        <sz val="10"/>
        <color indexed="58"/>
        <rFont val="Arial"/>
        <family val="2"/>
      </rPr>
      <t>U</t>
    </r>
  </si>
  <si>
    <r>
      <t>&lt;</t>
    </r>
    <r>
      <rPr>
        <b/>
        <sz val="10"/>
        <color indexed="16"/>
        <rFont val="Arial"/>
        <family val="2"/>
      </rPr>
      <t xml:space="preserve"> of Utility</t>
    </r>
  </si>
  <si>
    <r>
      <t xml:space="preserve">    </t>
    </r>
    <r>
      <rPr>
        <b/>
        <strike/>
        <sz val="10"/>
        <color indexed="58"/>
        <rFont val="Arial"/>
        <family val="2"/>
      </rPr>
      <t>G</t>
    </r>
    <r>
      <rPr>
        <b/>
        <sz val="12"/>
        <rFont val="Symbol"/>
        <family val="1"/>
      </rPr>
      <t>/</t>
    </r>
    <r>
      <rPr>
        <b/>
        <sz val="10"/>
        <rFont val="Arial"/>
        <family val="2"/>
      </rPr>
      <t>unit</t>
    </r>
  </si>
  <si>
    <r>
      <t>Calculation</t>
    </r>
    <r>
      <rPr>
        <b/>
        <sz val="12"/>
        <color indexed="16"/>
        <rFont val="Symbol"/>
        <family val="1"/>
      </rPr>
      <t xml:space="preserve"> </t>
    </r>
    <r>
      <rPr>
        <b/>
        <sz val="10"/>
        <color indexed="16"/>
        <rFont val="MS Sans Serif"/>
        <family val="2"/>
      </rPr>
      <t>&gt;</t>
    </r>
  </si>
  <si>
    <r>
      <t xml:space="preserve">     </t>
    </r>
    <r>
      <rPr>
        <b/>
        <sz val="10"/>
        <color indexed="16"/>
        <rFont val="Arial"/>
        <family val="2"/>
      </rPr>
      <t xml:space="preserve">at time = t </t>
    </r>
    <r>
      <rPr>
        <b/>
        <sz val="12"/>
        <color indexed="16"/>
        <rFont val="Symbol"/>
        <family val="1"/>
      </rPr>
      <t xml:space="preserve">+ D </t>
    </r>
    <r>
      <rPr>
        <b/>
        <sz val="10"/>
        <color indexed="16"/>
        <rFont val="MS Sans Serif"/>
        <family val="2"/>
      </rPr>
      <t>&gt;</t>
    </r>
  </si>
  <si>
    <r>
      <t xml:space="preserve"> </t>
    </r>
    <r>
      <rPr>
        <b/>
        <sz val="10"/>
        <color indexed="16"/>
        <rFont val="MS Sans Serif"/>
        <family val="2"/>
      </rPr>
      <t xml:space="preserve">&lt; </t>
    </r>
    <r>
      <rPr>
        <b/>
        <sz val="10"/>
        <color indexed="16"/>
        <rFont val="Arial"/>
        <family val="2"/>
      </rPr>
      <t>Values</t>
    </r>
  </si>
  <si>
    <r>
      <t>- s/</t>
    </r>
    <r>
      <rPr>
        <b/>
        <sz val="10"/>
        <color indexed="59"/>
        <rFont val="Arial"/>
        <family val="2"/>
      </rPr>
      <t>P</t>
    </r>
    <r>
      <rPr>
        <b/>
        <vertAlign val="subscript"/>
        <sz val="10"/>
        <color indexed="59"/>
        <rFont val="Arial"/>
        <family val="2"/>
      </rPr>
      <t>0</t>
    </r>
  </si>
  <si>
    <r>
      <t xml:space="preserve"> </t>
    </r>
    <r>
      <rPr>
        <b/>
        <sz val="10"/>
        <color indexed="16"/>
        <rFont val="MS Sans Serif"/>
        <family val="2"/>
      </rPr>
      <t>&lt;</t>
    </r>
  </si>
  <si>
    <r>
      <t>V</t>
    </r>
    <r>
      <rPr>
        <b/>
        <vertAlign val="subscript"/>
        <sz val="10"/>
        <color indexed="16"/>
        <rFont val="Arial"/>
        <family val="2"/>
      </rPr>
      <t>0</t>
    </r>
  </si>
  <si>
    <t xml:space="preserve">    Pressure</t>
  </si>
  <si>
    <t xml:space="preserve">       1       </t>
  </si>
  <si>
    <r>
      <t xml:space="preserve"> </t>
    </r>
    <r>
      <rPr>
        <b/>
        <sz val="10"/>
        <color indexed="16"/>
        <rFont val="MS Sans Serif"/>
        <family val="2"/>
      </rPr>
      <t>&lt;</t>
    </r>
    <r>
      <rPr>
        <b/>
        <sz val="10"/>
        <color indexed="16"/>
        <rFont val="Arial"/>
        <family val="2"/>
      </rPr>
      <t xml:space="preserve"> Market</t>
    </r>
  </si>
  <si>
    <r>
      <t>1</t>
    </r>
    <r>
      <rPr>
        <b/>
        <sz val="12"/>
        <color indexed="16"/>
        <rFont val="Symbol"/>
        <family val="1"/>
      </rPr>
      <t>+n</t>
    </r>
    <r>
      <rPr>
        <b/>
        <sz val="10"/>
        <color indexed="16"/>
        <rFont val="Arial"/>
        <family val="2"/>
      </rPr>
      <t>T</t>
    </r>
    <r>
      <rPr>
        <b/>
        <sz val="12"/>
        <color indexed="16"/>
        <rFont val="Symbol"/>
        <family val="1"/>
      </rPr>
      <t xml:space="preserve">k/g </t>
    </r>
  </si>
  <si>
    <r>
      <t xml:space="preserve"> </t>
    </r>
    <r>
      <rPr>
        <b/>
        <sz val="10"/>
        <color indexed="12"/>
        <rFont val="MS Sans Serif"/>
        <family val="2"/>
      </rPr>
      <t>&lt;</t>
    </r>
    <r>
      <rPr>
        <b/>
        <sz val="10"/>
        <color indexed="12"/>
        <rFont val="Arial"/>
        <family val="2"/>
      </rPr>
      <t xml:space="preserve"> Output</t>
    </r>
  </si>
  <si>
    <r>
      <t>Y</t>
    </r>
    <r>
      <rPr>
        <b/>
        <sz val="12"/>
        <color indexed="12"/>
        <rFont val="Symbol"/>
        <family val="1"/>
      </rPr>
      <t>t</t>
    </r>
  </si>
  <si>
    <r>
      <t xml:space="preserve">Marginal Costs of Production </t>
    </r>
    <r>
      <rPr>
        <b/>
        <sz val="10"/>
        <color indexed="12"/>
        <rFont val="MS Sans Serif"/>
        <family val="2"/>
      </rPr>
      <t>&gt;</t>
    </r>
  </si>
  <si>
    <r>
      <t xml:space="preserve">(1 </t>
    </r>
    <r>
      <rPr>
        <b/>
        <sz val="12"/>
        <color indexed="16"/>
        <rFont val="Symbol"/>
        <family val="1"/>
      </rPr>
      <t>- n</t>
    </r>
    <r>
      <rPr>
        <b/>
        <sz val="10"/>
        <color indexed="16"/>
        <rFont val="Arial"/>
        <family val="2"/>
      </rPr>
      <t>)</t>
    </r>
    <r>
      <rPr>
        <b/>
        <vertAlign val="superscript"/>
        <sz val="12"/>
        <color indexed="16"/>
        <rFont val="Arial"/>
        <family val="2"/>
      </rPr>
      <t>T</t>
    </r>
  </si>
  <si>
    <t xml:space="preserve">   </t>
  </si>
  <si>
    <r>
      <t>Y</t>
    </r>
    <r>
      <rPr>
        <b/>
        <vertAlign val="subscript"/>
        <sz val="10"/>
        <color indexed="16"/>
        <rFont val="Arial"/>
        <family val="2"/>
      </rPr>
      <t>L</t>
    </r>
    <r>
      <rPr>
        <b/>
        <sz val="10"/>
        <color indexed="16"/>
        <rFont val="Arial"/>
        <family val="2"/>
      </rPr>
      <t xml:space="preserve"> </t>
    </r>
    <r>
      <rPr>
        <b/>
        <sz val="12"/>
        <color indexed="16"/>
        <rFont val="Symbol"/>
        <family val="1"/>
      </rPr>
      <t xml:space="preserve">= - </t>
    </r>
    <r>
      <rPr>
        <b/>
        <sz val="10"/>
        <color indexed="16"/>
        <rFont val="Arial"/>
        <family val="2"/>
      </rPr>
      <t>Leisure</t>
    </r>
  </si>
  <si>
    <t>T</t>
  </si>
  <si>
    <t>(u + e)/h</t>
  </si>
  <si>
    <t xml:space="preserve">Investment Term    </t>
  </si>
  <si>
    <r>
      <t>&lt;</t>
    </r>
    <r>
      <rPr>
        <b/>
        <sz val="10"/>
        <color indexed="16"/>
        <rFont val="Arial"/>
        <family val="2"/>
      </rPr>
      <t xml:space="preserve"> Assets' Valuation</t>
    </r>
  </si>
  <si>
    <r>
      <t xml:space="preserve">Q = </t>
    </r>
    <r>
      <rPr>
        <b/>
        <sz val="10"/>
        <color indexed="59"/>
        <rFont val="Arial"/>
        <family val="2"/>
      </rPr>
      <t>E</t>
    </r>
    <r>
      <rPr>
        <b/>
        <vertAlign val="subscript"/>
        <sz val="10"/>
        <color indexed="59"/>
        <rFont val="Arial"/>
        <family val="2"/>
      </rPr>
      <t>0</t>
    </r>
    <r>
      <rPr>
        <b/>
        <sz val="12"/>
        <color indexed="59"/>
        <rFont val="Symbol"/>
        <family val="1"/>
      </rPr>
      <t>/</t>
    </r>
    <r>
      <rPr>
        <b/>
        <sz val="10"/>
        <color indexed="59"/>
        <rFont val="Arial"/>
        <family val="2"/>
      </rPr>
      <t>W</t>
    </r>
    <r>
      <rPr>
        <b/>
        <vertAlign val="subscript"/>
        <sz val="10"/>
        <color indexed="59"/>
        <rFont val="Arial"/>
        <family val="2"/>
      </rPr>
      <t>0</t>
    </r>
  </si>
  <si>
    <r>
      <t>i</t>
    </r>
    <r>
      <rPr>
        <b/>
        <sz val="10"/>
        <color indexed="16"/>
        <rFont val="Arial"/>
        <family val="2"/>
      </rPr>
      <t xml:space="preserve">    H</t>
    </r>
    <r>
      <rPr>
        <b/>
        <sz val="12"/>
        <color indexed="16"/>
        <rFont val="Symbol"/>
        <family val="1"/>
      </rPr>
      <t>b/m</t>
    </r>
  </si>
  <si>
    <t>Monetary</t>
  </si>
  <si>
    <r>
      <t xml:space="preserve">Stocks </t>
    </r>
    <r>
      <rPr>
        <b/>
        <sz val="10"/>
        <color indexed="17"/>
        <rFont val="MS Sans Serif"/>
        <family val="2"/>
      </rPr>
      <t>&gt;</t>
    </r>
  </si>
  <si>
    <t xml:space="preserve">    Stocks</t>
  </si>
  <si>
    <r>
      <t>&lt;</t>
    </r>
    <r>
      <rPr>
        <b/>
        <sz val="10"/>
        <color indexed="16"/>
        <rFont val="Arial"/>
        <family val="2"/>
      </rPr>
      <t xml:space="preserve"> Markets</t>
    </r>
  </si>
  <si>
    <r>
      <t>&lt;</t>
    </r>
    <r>
      <rPr>
        <b/>
        <sz val="10"/>
        <color indexed="16"/>
        <rFont val="Arial"/>
        <family val="2"/>
      </rPr>
      <t xml:space="preserve"> Physical</t>
    </r>
  </si>
  <si>
    <r>
      <t xml:space="preserve">Investment Term </t>
    </r>
    <r>
      <rPr>
        <b/>
        <sz val="10"/>
        <color indexed="16"/>
        <rFont val="MS Sans Serif"/>
        <family val="2"/>
      </rPr>
      <t xml:space="preserve">&gt;  </t>
    </r>
  </si>
  <si>
    <r>
      <t xml:space="preserve"> Interest Rate </t>
    </r>
    <r>
      <rPr>
        <b/>
        <sz val="10"/>
        <color indexed="16"/>
        <rFont val="MS Sans Serif"/>
        <family val="2"/>
      </rPr>
      <t xml:space="preserve">&gt;  </t>
    </r>
  </si>
  <si>
    <r>
      <t>&lt;</t>
    </r>
    <r>
      <rPr>
        <b/>
        <sz val="10"/>
        <color indexed="16"/>
        <rFont val="Arial"/>
        <family val="2"/>
      </rPr>
      <t xml:space="preserve"> ∂Z</t>
    </r>
    <r>
      <rPr>
        <b/>
        <vertAlign val="subscript"/>
        <sz val="10"/>
        <color indexed="16"/>
        <rFont val="Arial"/>
        <family val="2"/>
      </rPr>
      <t>L</t>
    </r>
    <r>
      <rPr>
        <b/>
        <sz val="10"/>
        <color indexed="16"/>
        <rFont val="Arial"/>
        <family val="2"/>
      </rPr>
      <t>/∂t</t>
    </r>
  </si>
  <si>
    <r>
      <t>&lt;</t>
    </r>
    <r>
      <rPr>
        <b/>
        <sz val="12"/>
        <color indexed="58"/>
        <rFont val="Symbol"/>
        <family val="1"/>
      </rPr>
      <t xml:space="preserve"> Y</t>
    </r>
    <r>
      <rPr>
        <b/>
        <sz val="10"/>
        <color indexed="58"/>
        <rFont val="Arial"/>
        <family val="2"/>
      </rPr>
      <t xml:space="preserve">Y   </t>
    </r>
  </si>
  <si>
    <r>
      <t>&lt;</t>
    </r>
    <r>
      <rPr>
        <b/>
        <sz val="10"/>
        <color indexed="16"/>
        <rFont val="Arial"/>
        <family val="2"/>
      </rPr>
      <t xml:space="preserve"> V</t>
    </r>
  </si>
  <si>
    <t>z = pl</t>
  </si>
  <si>
    <r>
      <t xml:space="preserve">q = </t>
    </r>
    <r>
      <rPr>
        <b/>
        <sz val="10"/>
        <color indexed="22"/>
        <rFont val="Arial"/>
        <family val="2"/>
      </rPr>
      <t>P</t>
    </r>
    <r>
      <rPr>
        <b/>
        <vertAlign val="subscript"/>
        <sz val="10"/>
        <color indexed="22"/>
        <rFont val="Arial"/>
        <family val="2"/>
      </rPr>
      <t>0</t>
    </r>
    <r>
      <rPr>
        <b/>
        <sz val="12"/>
        <color indexed="22"/>
        <rFont val="Symbol"/>
        <family val="1"/>
      </rPr>
      <t>Q</t>
    </r>
  </si>
  <si>
    <r>
      <t>(</t>
    </r>
    <r>
      <rPr>
        <b/>
        <sz val="10"/>
        <color indexed="22"/>
        <rFont val="Arial"/>
        <family val="2"/>
      </rPr>
      <t xml:space="preserve">PU + </t>
    </r>
    <r>
      <rPr>
        <b/>
        <sz val="12"/>
        <color indexed="22"/>
        <rFont val="Symbol"/>
        <family val="1"/>
      </rPr>
      <t>s)/</t>
    </r>
    <r>
      <rPr>
        <b/>
        <sz val="10"/>
        <color indexed="22"/>
        <rFont val="Arial"/>
        <family val="2"/>
      </rPr>
      <t>N</t>
    </r>
  </si>
  <si>
    <r>
      <t>1/(N</t>
    </r>
    <r>
      <rPr>
        <b/>
        <sz val="8"/>
        <color indexed="22"/>
        <rFont val="Symbol"/>
        <family val="1"/>
      </rPr>
      <t>+</t>
    </r>
    <r>
      <rPr>
        <b/>
        <sz val="8"/>
        <color indexed="22"/>
        <rFont val="Arial"/>
        <family val="2"/>
      </rPr>
      <t>1)</t>
    </r>
  </si>
  <si>
    <r>
      <t>(</t>
    </r>
    <r>
      <rPr>
        <b/>
        <sz val="12"/>
        <color indexed="22"/>
        <rFont val="Symbol"/>
        <family val="1"/>
      </rPr>
      <t>p</t>
    </r>
    <r>
      <rPr>
        <b/>
        <sz val="10"/>
        <color indexed="22"/>
        <rFont val="Arial"/>
        <family val="2"/>
      </rPr>
      <t>ZPU)</t>
    </r>
  </si>
  <si>
    <t>e -</t>
  </si>
  <si>
    <t>e +</t>
  </si>
  <si>
    <r>
      <t>Z</t>
    </r>
    <r>
      <rPr>
        <b/>
        <vertAlign val="subscript"/>
        <sz val="10"/>
        <color indexed="16"/>
        <rFont val="Arial"/>
        <family val="2"/>
      </rPr>
      <t>L</t>
    </r>
  </si>
  <si>
    <r>
      <t>&lt;</t>
    </r>
    <r>
      <rPr>
        <b/>
        <sz val="10"/>
        <color indexed="16"/>
        <rFont val="Arial"/>
        <family val="2"/>
      </rPr>
      <t xml:space="preserve"> Temporal Parameters, i.e.: Turnover Fractions </t>
    </r>
    <r>
      <rPr>
        <b/>
        <sz val="10"/>
        <color indexed="16"/>
        <rFont val="MS Sans Serif"/>
        <family val="2"/>
      </rPr>
      <t>&gt;</t>
    </r>
  </si>
  <si>
    <t>-f</t>
  </si>
  <si>
    <t xml:space="preserve">Financial   </t>
  </si>
  <si>
    <r>
      <t xml:space="preserve">Intermediation </t>
    </r>
    <r>
      <rPr>
        <b/>
        <sz val="10"/>
        <color indexed="17"/>
        <rFont val="MS Sans Serif"/>
        <family val="2"/>
      </rPr>
      <t>&gt;</t>
    </r>
  </si>
  <si>
    <t xml:space="preserve">     u      </t>
  </si>
  <si>
    <r>
      <t>(</t>
    </r>
    <r>
      <rPr>
        <b/>
        <sz val="12"/>
        <color indexed="17"/>
        <rFont val="Symbol"/>
        <family val="1"/>
      </rPr>
      <t>h/w-</t>
    </r>
    <r>
      <rPr>
        <b/>
        <sz val="10"/>
        <color indexed="17"/>
        <rFont val="Arial"/>
        <family val="2"/>
      </rPr>
      <t>1)</t>
    </r>
  </si>
  <si>
    <t>- NCF</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</si>
</sst>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00_)"/>
    <numFmt numFmtId="167" formatCode="0.00_)"/>
    <numFmt numFmtId="168" formatCode="0.0_);\(0.0\)"/>
    <numFmt numFmtId="169" formatCode="0.0000_);\(0.0000\)"/>
    <numFmt numFmtId="170" formatCode="0.000_);\(0.000\)"/>
    <numFmt numFmtId="171" formatCode="0.00_);\(0.00\)"/>
    <numFmt numFmtId="172" formatCode="0.0%"/>
    <numFmt numFmtId="173" formatCode="0.0_)"/>
    <numFmt numFmtId="174" formatCode="0.0000"/>
    <numFmt numFmtId="175" formatCode="0.000"/>
    <numFmt numFmtId="176" formatCode="0.0"/>
    <numFmt numFmtId="177" formatCode="0.000000"/>
    <numFmt numFmtId="178" formatCode="0.00000"/>
    <numFmt numFmtId="179" formatCode="0.0E+00_)"/>
    <numFmt numFmtId="180" formatCode="0.0E+00"/>
    <numFmt numFmtId="181" formatCode="0.000_)"/>
    <numFmt numFmtId="182" formatCode="0.00000_)"/>
    <numFmt numFmtId="183" formatCode="0.000000_)"/>
    <numFmt numFmtId="184" formatCode="0.0000000_)"/>
  </numFmts>
  <fonts count="93">
    <font>
      <sz val="10"/>
      <name val="Courier New"/>
      <family val="3"/>
    </font>
    <font>
      <sz val="10"/>
      <name val="Arial"/>
      <family val="0"/>
    </font>
    <font>
      <b/>
      <sz val="12"/>
      <name val="Arial"/>
      <family val="2"/>
    </font>
    <font>
      <b/>
      <sz val="10"/>
      <color indexed="58"/>
      <name val="Arial"/>
      <family val="2"/>
    </font>
    <font>
      <b/>
      <sz val="10"/>
      <name val="Arial"/>
      <family val="2"/>
    </font>
    <font>
      <b/>
      <sz val="10"/>
      <color indexed="10"/>
      <name val="Arial"/>
      <family val="2"/>
    </font>
    <font>
      <b/>
      <sz val="10"/>
      <color indexed="16"/>
      <name val="Arial"/>
      <family val="2"/>
    </font>
    <font>
      <b/>
      <sz val="10"/>
      <color indexed="16"/>
      <name val="MS Sans Serif"/>
      <family val="2"/>
    </font>
    <font>
      <sz val="10"/>
      <color indexed="12"/>
      <name val="MS Sans Serif"/>
      <family val="2"/>
    </font>
    <font>
      <b/>
      <sz val="12"/>
      <color indexed="17"/>
      <name val="Symbol"/>
      <family val="1"/>
    </font>
    <font>
      <b/>
      <sz val="12"/>
      <color indexed="16"/>
      <name val="MS Sans Serif"/>
      <family val="2"/>
    </font>
    <font>
      <b/>
      <sz val="12"/>
      <color indexed="16"/>
      <name val="Symbol"/>
      <family val="1"/>
    </font>
    <font>
      <b/>
      <vertAlign val="subscript"/>
      <sz val="10"/>
      <color indexed="16"/>
      <name val="Arial"/>
      <family val="2"/>
    </font>
    <font>
      <b/>
      <sz val="10"/>
      <color indexed="17"/>
      <name val="Arial"/>
      <family val="2"/>
    </font>
    <font>
      <b/>
      <sz val="8"/>
      <color indexed="8"/>
      <name val="Tahoma"/>
      <family val="2"/>
    </font>
    <font>
      <sz val="8"/>
      <color indexed="8"/>
      <name val="Tahoma"/>
      <family val="2"/>
    </font>
    <font>
      <sz val="10"/>
      <color indexed="22"/>
      <name val="Arial"/>
      <family val="2"/>
    </font>
    <font>
      <sz val="12"/>
      <color indexed="16"/>
      <name val="Symbol"/>
      <family val="1"/>
    </font>
    <font>
      <b/>
      <sz val="10"/>
      <color indexed="12"/>
      <name val="Arial"/>
      <family val="2"/>
    </font>
    <font>
      <b/>
      <sz val="12"/>
      <color indexed="12"/>
      <name val="Symbol"/>
      <family val="1"/>
    </font>
    <font>
      <sz val="10"/>
      <color indexed="12"/>
      <name val="Courier New"/>
      <family val="3"/>
    </font>
    <font>
      <b/>
      <sz val="10"/>
      <color indexed="16"/>
      <name val="Symbol"/>
      <family val="1"/>
    </font>
    <font>
      <b/>
      <sz val="10"/>
      <color indexed="17"/>
      <name val="Symbol"/>
      <family val="1"/>
    </font>
    <font>
      <b/>
      <sz val="10"/>
      <color indexed="17"/>
      <name val="MS Sans Serif"/>
      <family val="2"/>
    </font>
    <font>
      <b/>
      <sz val="8"/>
      <color indexed="16"/>
      <name val="Arial"/>
      <family val="2"/>
    </font>
    <font>
      <b/>
      <sz val="12"/>
      <color indexed="17"/>
      <name val="MS Sans Serif"/>
      <family val="2"/>
    </font>
    <font>
      <b/>
      <sz val="12"/>
      <color indexed="16"/>
      <name val="Arial"/>
      <family val="2"/>
    </font>
    <font>
      <b/>
      <sz val="10"/>
      <name val="MS Sans Serif"/>
      <family val="2"/>
    </font>
    <font>
      <sz val="10"/>
      <color indexed="9"/>
      <name val="Courier New"/>
      <family val="3"/>
    </font>
    <font>
      <b/>
      <sz val="12"/>
      <name val="Arial Narrow"/>
      <family val="2"/>
    </font>
    <font>
      <b/>
      <sz val="10"/>
      <name val="Courier New"/>
      <family val="3"/>
    </font>
    <font>
      <b/>
      <sz val="12"/>
      <name val="Courier New"/>
      <family val="3"/>
    </font>
    <font>
      <b/>
      <vertAlign val="subscript"/>
      <sz val="12"/>
      <name val="Symbol"/>
      <family val="1"/>
    </font>
    <font>
      <b/>
      <sz val="14"/>
      <name val="Symbol"/>
      <family val="1"/>
    </font>
    <font>
      <b/>
      <vertAlign val="subscript"/>
      <sz val="10"/>
      <name val="Courier New"/>
      <family val="3"/>
    </font>
    <font>
      <b/>
      <sz val="10"/>
      <name val="Symbol"/>
      <family val="1"/>
    </font>
    <font>
      <vertAlign val="subscript"/>
      <sz val="10"/>
      <name val="Symbol"/>
      <family val="1"/>
    </font>
    <font>
      <vertAlign val="subscript"/>
      <sz val="10"/>
      <name val="Arial"/>
      <family val="2"/>
    </font>
    <font>
      <b/>
      <sz val="10"/>
      <name val="MS Serif"/>
      <family val="1"/>
    </font>
    <font>
      <sz val="10"/>
      <color indexed="27"/>
      <name val="Courier New"/>
      <family val="3"/>
    </font>
    <font>
      <u val="single"/>
      <sz val="10"/>
      <color indexed="36"/>
      <name val="Courier"/>
      <family val="3"/>
    </font>
    <font>
      <u val="single"/>
      <sz val="10"/>
      <color indexed="12"/>
      <name val="Arial"/>
      <family val="2"/>
    </font>
    <font>
      <sz val="10"/>
      <name val="Courier"/>
      <family val="3"/>
    </font>
    <font>
      <sz val="10"/>
      <color indexed="55"/>
      <name val="Courier New"/>
      <family val="3"/>
    </font>
    <font>
      <sz val="10"/>
      <color indexed="55"/>
      <name val="MS Sans Serif"/>
      <family val="2"/>
    </font>
    <font>
      <b/>
      <sz val="12"/>
      <name val="Symbol"/>
      <family val="1"/>
    </font>
    <font>
      <b/>
      <strike/>
      <sz val="10"/>
      <color indexed="58"/>
      <name val="Arial"/>
      <family val="2"/>
    </font>
    <font>
      <b/>
      <sz val="10"/>
      <color indexed="12"/>
      <name val="MS Sans Serif"/>
      <family val="2"/>
    </font>
    <font>
      <sz val="10"/>
      <color indexed="9"/>
      <name val="Arial"/>
      <family val="2"/>
    </font>
    <font>
      <b/>
      <sz val="10"/>
      <color indexed="22"/>
      <name val="Arial"/>
      <family val="2"/>
    </font>
    <font>
      <b/>
      <sz val="12"/>
      <color indexed="22"/>
      <name val="Symbol"/>
      <family val="1"/>
    </font>
    <font>
      <b/>
      <u val="single"/>
      <sz val="10"/>
      <color indexed="16"/>
      <name val="Arial"/>
      <family val="2"/>
    </font>
    <font>
      <u val="single"/>
      <sz val="10"/>
      <color indexed="17"/>
      <name val="Courier"/>
      <family val="3"/>
    </font>
    <font>
      <b/>
      <sz val="12"/>
      <color indexed="10"/>
      <name val="Arial"/>
      <family val="2"/>
    </font>
    <font>
      <b/>
      <sz val="10"/>
      <color indexed="59"/>
      <name val="Arial"/>
      <family val="2"/>
    </font>
    <font>
      <u val="double"/>
      <sz val="10"/>
      <name val="Courier"/>
      <family val="3"/>
    </font>
    <font>
      <b/>
      <vertAlign val="superscript"/>
      <sz val="12"/>
      <color indexed="16"/>
      <name val="Arial"/>
      <family val="2"/>
    </font>
    <font>
      <b/>
      <sz val="12"/>
      <color indexed="59"/>
      <name val="Symbol"/>
      <family val="1"/>
    </font>
    <font>
      <b/>
      <vertAlign val="subscript"/>
      <sz val="10"/>
      <color indexed="59"/>
      <name val="Arial"/>
      <family val="2"/>
    </font>
    <font>
      <u val="single"/>
      <sz val="10"/>
      <color indexed="59"/>
      <name val="Courier"/>
      <family val="3"/>
    </font>
    <font>
      <b/>
      <sz val="12"/>
      <color indexed="58"/>
      <name val="Symbol"/>
      <family val="1"/>
    </font>
    <font>
      <b/>
      <sz val="10"/>
      <color indexed="58"/>
      <name val="MS Sans Serif"/>
      <family val="2"/>
    </font>
    <font>
      <sz val="10"/>
      <color indexed="22"/>
      <name val="Courier New"/>
      <family val="3"/>
    </font>
    <font>
      <b/>
      <vertAlign val="subscript"/>
      <sz val="10"/>
      <color indexed="22"/>
      <name val="Arial"/>
      <family val="2"/>
    </font>
    <font>
      <u val="single"/>
      <sz val="10"/>
      <color indexed="22"/>
      <name val="Courier"/>
      <family val="3"/>
    </font>
    <font>
      <u val="double"/>
      <sz val="10"/>
      <color indexed="22"/>
      <name val="Courier"/>
      <family val="3"/>
    </font>
    <font>
      <b/>
      <sz val="8"/>
      <color indexed="22"/>
      <name val="Arial"/>
      <family val="2"/>
    </font>
    <font>
      <b/>
      <sz val="8"/>
      <color indexed="22"/>
      <name val="Symbol"/>
      <family val="1"/>
    </font>
    <font>
      <sz val="10"/>
      <color indexed="55"/>
      <name val="Arial"/>
      <family val="2"/>
    </font>
    <font>
      <b/>
      <sz val="8"/>
      <color indexed="17"/>
      <name val="Arial"/>
      <family val="2"/>
    </font>
    <font>
      <b/>
      <u val="single"/>
      <sz val="12"/>
      <color indexed="17"/>
      <name val="Symbol"/>
      <family val="1"/>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b/>
      <sz val="12"/>
      <color indexed="8"/>
      <name val="Arial"/>
      <family val="2"/>
    </font>
    <font>
      <sz val="12"/>
      <color indexed="10"/>
      <name val="Arial"/>
      <family val="2"/>
    </font>
    <font>
      <sz val="10"/>
      <color indexed="8"/>
      <name val="Arial"/>
      <family val="0"/>
    </font>
    <font>
      <sz val="10"/>
      <color indexed="8"/>
      <name val="Courier New"/>
      <family val="0"/>
    </font>
    <font>
      <b/>
      <sz val="8"/>
      <color indexed="8"/>
      <name val="Arial"/>
      <family val="0"/>
    </font>
    <font>
      <sz val="7.35"/>
      <color indexed="8"/>
      <name val="Arial"/>
      <family val="0"/>
    </font>
    <font>
      <b/>
      <sz val="8"/>
      <name val="Courier New"/>
      <family val="2"/>
    </font>
  </fonts>
  <fills count="35">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31"/>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49"/>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15"/>
        <bgColor indexed="64"/>
      </patternFill>
    </fill>
    <fill>
      <patternFill patternType="solid">
        <fgColor indexed="15"/>
        <bgColor indexed="64"/>
      </patternFill>
    </fill>
    <fill>
      <patternFill patternType="solid">
        <fgColor indexed="13"/>
        <bgColor indexed="64"/>
      </patternFill>
    </fill>
    <fill>
      <patternFill patternType="solid">
        <fgColor indexed="13"/>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42"/>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bottom style="medium"/>
    </border>
    <border>
      <left>
        <color indexed="63"/>
      </left>
      <right style="thin">
        <color indexed="8"/>
      </right>
      <top>
        <color indexed="63"/>
      </top>
      <bottom style="medium"/>
    </border>
    <border>
      <left style="thin"/>
      <right style="thin">
        <color indexed="8"/>
      </right>
      <top style="thin">
        <color indexed="8"/>
      </top>
      <bottom style="medium">
        <color indexed="8"/>
      </bottom>
    </border>
    <border>
      <left style="thin">
        <color indexed="8"/>
      </left>
      <right style="thin">
        <color indexed="8"/>
      </right>
      <top style="thin">
        <color indexed="8"/>
      </top>
      <bottom style="medium"/>
    </border>
    <border>
      <left style="thin">
        <color indexed="8"/>
      </left>
      <right>
        <color indexed="63"/>
      </right>
      <top>
        <color indexed="63"/>
      </top>
      <bottom>
        <color indexed="63"/>
      </bottom>
    </border>
    <border>
      <left>
        <color indexed="63"/>
      </left>
      <right>
        <color indexed="63"/>
      </right>
      <top style="thin">
        <color indexed="8"/>
      </top>
      <bottom style="medium"/>
    </border>
    <border>
      <left style="thin">
        <color indexed="8"/>
      </left>
      <right style="thin">
        <color indexed="8"/>
      </right>
      <top>
        <color indexed="63"/>
      </top>
      <bottom style="medium"/>
    </border>
    <border>
      <left style="thin">
        <color indexed="8"/>
      </left>
      <right>
        <color indexed="63"/>
      </right>
      <top>
        <color indexed="63"/>
      </top>
      <bottom style="medium"/>
    </border>
    <border>
      <left>
        <color indexed="63"/>
      </left>
      <right>
        <color indexed="63"/>
      </right>
      <top>
        <color indexed="63"/>
      </top>
      <bottom style="medium"/>
    </border>
    <border>
      <left style="thin"/>
      <right style="thin">
        <color indexed="8"/>
      </right>
      <top style="thin">
        <color indexed="8"/>
      </top>
      <bottom style="medium"/>
    </border>
    <border>
      <left style="thin"/>
      <right style="thin"/>
      <top style="thin"/>
      <bottom style="mediu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border>
  </borders>
  <cellStyleXfs count="7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2" borderId="0" applyNumberFormat="0" applyBorder="0" applyAlignment="0" applyProtection="0"/>
    <xf numFmtId="0" fontId="71" fillId="5" borderId="0" applyNumberFormat="0" applyBorder="0" applyAlignment="0" applyProtection="0"/>
    <xf numFmtId="0" fontId="7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6" borderId="0" applyNumberFormat="0" applyBorder="0" applyAlignment="0" applyProtection="0"/>
    <xf numFmtId="0" fontId="71" fillId="9" borderId="0" applyNumberFormat="0" applyBorder="0" applyAlignment="0" applyProtection="0"/>
    <xf numFmtId="0" fontId="71" fillId="3" borderId="0" applyNumberFormat="0" applyBorder="0" applyAlignment="0" applyProtection="0"/>
    <xf numFmtId="0" fontId="72" fillId="10"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11" borderId="0" applyNumberFormat="0" applyBorder="0" applyAlignment="0" applyProtection="0"/>
    <xf numFmtId="0" fontId="72" fillId="10" borderId="0" applyNumberFormat="0" applyBorder="0" applyAlignment="0" applyProtection="0"/>
    <xf numFmtId="0" fontId="72" fillId="3" borderId="0" applyNumberFormat="0" applyBorder="0" applyAlignment="0" applyProtection="0"/>
    <xf numFmtId="0" fontId="72" fillId="10"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0" borderId="0" applyNumberFormat="0" applyBorder="0" applyAlignment="0" applyProtection="0"/>
    <xf numFmtId="0" fontId="72" fillId="15" borderId="0" applyNumberFormat="0" applyBorder="0" applyAlignment="0" applyProtection="0"/>
    <xf numFmtId="0" fontId="73" fillId="16" borderId="0" applyNumberFormat="0" applyBorder="0" applyAlignment="0" applyProtection="0"/>
    <xf numFmtId="0" fontId="74" fillId="17" borderId="1" applyNumberFormat="0" applyAlignment="0" applyProtection="0"/>
    <xf numFmtId="0" fontId="75" fillId="1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76" fillId="0" borderId="0" applyNumberFormat="0" applyFill="0" applyBorder="0" applyAlignment="0" applyProtection="0"/>
    <xf numFmtId="0" fontId="40" fillId="0" borderId="0" applyNumberFormat="0" applyFill="0" applyBorder="0" applyAlignment="0" applyProtection="0"/>
    <xf numFmtId="0" fontId="77" fillId="1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41" fillId="0" borderId="0" applyNumberFormat="0" applyFill="0" applyBorder="0" applyAlignment="0" applyProtection="0"/>
    <xf numFmtId="0" fontId="81" fillId="3" borderId="1" applyNumberFormat="0" applyAlignment="0" applyProtection="0"/>
    <xf numFmtId="0" fontId="82" fillId="0" borderId="6" applyNumberFormat="0" applyFill="0" applyAlignment="0" applyProtection="0"/>
    <xf numFmtId="0" fontId="83" fillId="8" borderId="0" applyNumberFormat="0" applyBorder="0" applyAlignment="0" applyProtection="0"/>
    <xf numFmtId="164" fontId="42" fillId="0" borderId="0">
      <alignment/>
      <protection/>
    </xf>
    <xf numFmtId="164" fontId="42" fillId="0" borderId="0">
      <alignment/>
      <protection/>
    </xf>
    <xf numFmtId="164" fontId="0" fillId="0" borderId="0">
      <alignment/>
      <protection/>
    </xf>
    <xf numFmtId="164" fontId="0" fillId="0" borderId="0">
      <alignment/>
      <protection/>
    </xf>
    <xf numFmtId="164" fontId="42" fillId="0" borderId="0">
      <alignment/>
      <protection/>
    </xf>
    <xf numFmtId="164" fontId="42" fillId="0" borderId="0">
      <alignment/>
      <protection/>
    </xf>
    <xf numFmtId="164" fontId="42" fillId="0" borderId="0">
      <alignment/>
      <protection/>
    </xf>
    <xf numFmtId="164" fontId="0" fillId="0" borderId="0">
      <alignment/>
      <protection/>
    </xf>
    <xf numFmtId="0" fontId="0" fillId="4" borderId="7" applyNumberFormat="0" applyFont="0" applyAlignment="0" applyProtection="0"/>
    <xf numFmtId="0" fontId="84" fillId="17" borderId="8" applyNumberFormat="0" applyAlignment="0" applyProtection="0"/>
    <xf numFmtId="9" fontId="1" fillId="0" borderId="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94">
    <xf numFmtId="164" fontId="0" fillId="0" borderId="0" xfId="0" applyAlignment="1">
      <alignment/>
    </xf>
    <xf numFmtId="164" fontId="0" fillId="20" borderId="0" xfId="0" applyFill="1" applyAlignment="1">
      <alignment/>
    </xf>
    <xf numFmtId="164" fontId="0" fillId="0" borderId="0" xfId="0" applyAlignment="1">
      <alignment vertical="center"/>
    </xf>
    <xf numFmtId="164" fontId="0" fillId="0" borderId="0" xfId="0" applyAlignment="1">
      <alignment/>
    </xf>
    <xf numFmtId="164" fontId="0" fillId="20" borderId="0" xfId="0" applyFill="1" applyAlignment="1">
      <alignment vertical="center"/>
    </xf>
    <xf numFmtId="165" fontId="3" fillId="20" borderId="10" xfId="0" applyNumberFormat="1" applyFont="1" applyFill="1" applyBorder="1" applyAlignment="1">
      <alignment vertical="center"/>
    </xf>
    <xf numFmtId="165" fontId="4" fillId="0" borderId="11" xfId="0" applyNumberFormat="1" applyFont="1" applyFill="1" applyBorder="1" applyAlignment="1">
      <alignment vertical="center"/>
    </xf>
    <xf numFmtId="164" fontId="6" fillId="0" borderId="0" xfId="0" applyFont="1" applyFill="1" applyBorder="1" applyAlignment="1">
      <alignment horizontal="left" vertical="center"/>
    </xf>
    <xf numFmtId="165" fontId="4" fillId="20" borderId="10" xfId="0" applyNumberFormat="1" applyFont="1" applyFill="1" applyBorder="1" applyAlignment="1">
      <alignment vertical="center"/>
    </xf>
    <xf numFmtId="164" fontId="8" fillId="0" borderId="0" xfId="0" applyFont="1" applyFill="1" applyBorder="1" applyAlignment="1">
      <alignment horizontal="center" vertical="center"/>
    </xf>
    <xf numFmtId="164" fontId="9" fillId="0" borderId="0" xfId="0" applyFont="1" applyFill="1" applyBorder="1" applyAlignment="1">
      <alignment horizontal="center" vertical="center"/>
    </xf>
    <xf numFmtId="164" fontId="6" fillId="0" borderId="0" xfId="0" applyFont="1" applyFill="1" applyBorder="1" applyAlignment="1">
      <alignment horizontal="right" vertical="center"/>
    </xf>
    <xf numFmtId="164" fontId="8" fillId="0" borderId="0" xfId="0" applyFont="1" applyFill="1" applyBorder="1" applyAlignment="1">
      <alignment horizontal="center"/>
    </xf>
    <xf numFmtId="164" fontId="11" fillId="0" borderId="0" xfId="0" applyFont="1" applyFill="1" applyBorder="1" applyAlignment="1">
      <alignment horizontal="center"/>
    </xf>
    <xf numFmtId="164" fontId="0" fillId="20" borderId="0" xfId="0" applyFill="1" applyBorder="1" applyAlignment="1">
      <alignment vertical="center"/>
    </xf>
    <xf numFmtId="165" fontId="13" fillId="20" borderId="12" xfId="0" applyNumberFormat="1" applyFont="1" applyFill="1" applyBorder="1" applyAlignment="1" applyProtection="1">
      <alignment/>
      <protection/>
    </xf>
    <xf numFmtId="165" fontId="4" fillId="20" borderId="13" xfId="0" applyNumberFormat="1" applyFont="1" applyFill="1" applyBorder="1" applyAlignment="1" applyProtection="1">
      <alignment/>
      <protection/>
    </xf>
    <xf numFmtId="165" fontId="4" fillId="20" borderId="12" xfId="0" applyNumberFormat="1" applyFont="1" applyFill="1" applyBorder="1" applyAlignment="1" applyProtection="1">
      <alignment/>
      <protection/>
    </xf>
    <xf numFmtId="165" fontId="4" fillId="20" borderId="14" xfId="0" applyNumberFormat="1" applyFont="1" applyFill="1" applyBorder="1" applyAlignment="1" applyProtection="1">
      <alignment/>
      <protection/>
    </xf>
    <xf numFmtId="165" fontId="13" fillId="0" borderId="15" xfId="0" applyNumberFormat="1" applyFont="1" applyFill="1" applyBorder="1" applyAlignment="1" applyProtection="1">
      <alignment/>
      <protection/>
    </xf>
    <xf numFmtId="165" fontId="4" fillId="20" borderId="15" xfId="0" applyNumberFormat="1" applyFont="1" applyFill="1" applyBorder="1" applyAlignment="1" applyProtection="1">
      <alignment/>
      <protection/>
    </xf>
    <xf numFmtId="165" fontId="4" fillId="0" borderId="16" xfId="0" applyNumberFormat="1" applyFont="1" applyFill="1" applyBorder="1" applyAlignment="1" applyProtection="1">
      <alignment/>
      <protection/>
    </xf>
    <xf numFmtId="165" fontId="4" fillId="0" borderId="17" xfId="0" applyNumberFormat="1" applyFont="1" applyFill="1" applyBorder="1" applyAlignment="1" applyProtection="1">
      <alignment/>
      <protection/>
    </xf>
    <xf numFmtId="165" fontId="4" fillId="0" borderId="18" xfId="0" applyNumberFormat="1" applyFont="1" applyFill="1" applyBorder="1" applyAlignment="1" applyProtection="1">
      <alignment/>
      <protection/>
    </xf>
    <xf numFmtId="165" fontId="4" fillId="20" borderId="19" xfId="0" applyNumberFormat="1" applyFont="1" applyFill="1" applyBorder="1" applyAlignment="1" applyProtection="1">
      <alignment/>
      <protection/>
    </xf>
    <xf numFmtId="165" fontId="4" fillId="0" borderId="20" xfId="0" applyNumberFormat="1" applyFont="1" applyFill="1" applyBorder="1" applyAlignment="1" applyProtection="1">
      <alignment/>
      <protection/>
    </xf>
    <xf numFmtId="165" fontId="4" fillId="0" borderId="21" xfId="0" applyNumberFormat="1" applyFont="1" applyFill="1" applyBorder="1" applyAlignment="1" applyProtection="1">
      <alignment/>
      <protection/>
    </xf>
    <xf numFmtId="166" fontId="4" fillId="21" borderId="22" xfId="0" applyNumberFormat="1" applyFont="1" applyFill="1" applyBorder="1" applyAlignment="1" applyProtection="1">
      <alignment vertical="center"/>
      <protection/>
    </xf>
    <xf numFmtId="166" fontId="4" fillId="21" borderId="11" xfId="0" applyNumberFormat="1" applyFont="1" applyFill="1" applyBorder="1" applyAlignment="1" applyProtection="1">
      <alignment vertical="center"/>
      <protection/>
    </xf>
    <xf numFmtId="166" fontId="4" fillId="0" borderId="10" xfId="0" applyNumberFormat="1" applyFont="1" applyFill="1" applyBorder="1" applyAlignment="1" applyProtection="1">
      <alignment vertical="center"/>
      <protection/>
    </xf>
    <xf numFmtId="165" fontId="13" fillId="0" borderId="23" xfId="0" applyNumberFormat="1" applyFont="1" applyFill="1" applyBorder="1" applyAlignment="1" applyProtection="1">
      <alignment vertical="center"/>
      <protection/>
    </xf>
    <xf numFmtId="165" fontId="4" fillId="21" borderId="24" xfId="0" applyNumberFormat="1" applyFont="1" applyFill="1" applyBorder="1" applyAlignment="1" applyProtection="1">
      <alignment vertical="center"/>
      <protection/>
    </xf>
    <xf numFmtId="165" fontId="4" fillId="21" borderId="25" xfId="0" applyNumberFormat="1" applyFont="1" applyFill="1" applyBorder="1" applyAlignment="1" applyProtection="1">
      <alignment vertical="center"/>
      <protection/>
    </xf>
    <xf numFmtId="165" fontId="4" fillId="0" borderId="24" xfId="0" applyNumberFormat="1" applyFont="1" applyFill="1" applyBorder="1" applyAlignment="1" applyProtection="1">
      <alignment horizontal="center" vertical="center"/>
      <protection/>
    </xf>
    <xf numFmtId="165" fontId="4" fillId="0" borderId="25" xfId="0" applyNumberFormat="1" applyFont="1" applyFill="1" applyBorder="1" applyAlignment="1" applyProtection="1">
      <alignment horizontal="center" vertical="center"/>
      <protection/>
    </xf>
    <xf numFmtId="165" fontId="4" fillId="0" borderId="26" xfId="0" applyNumberFormat="1" applyFont="1" applyFill="1" applyBorder="1" applyAlignment="1" applyProtection="1">
      <alignment horizontal="center" vertical="center"/>
      <protection/>
    </xf>
    <xf numFmtId="165" fontId="4" fillId="20" borderId="23" xfId="0" applyNumberFormat="1" applyFont="1" applyFill="1" applyBorder="1" applyAlignment="1" applyProtection="1">
      <alignment vertical="center"/>
      <protection/>
    </xf>
    <xf numFmtId="165" fontId="4" fillId="0" borderId="24" xfId="0" applyNumberFormat="1" applyFont="1" applyFill="1" applyBorder="1" applyAlignment="1" applyProtection="1">
      <alignment vertical="center"/>
      <protection/>
    </xf>
    <xf numFmtId="165" fontId="4" fillId="0" borderId="25" xfId="0" applyNumberFormat="1" applyFont="1" applyFill="1" applyBorder="1" applyAlignment="1" applyProtection="1">
      <alignment vertical="center"/>
      <protection/>
    </xf>
    <xf numFmtId="165" fontId="4" fillId="0" borderId="26" xfId="0" applyNumberFormat="1" applyFont="1" applyFill="1" applyBorder="1" applyAlignment="1" applyProtection="1">
      <alignment vertical="center"/>
      <protection/>
    </xf>
    <xf numFmtId="164" fontId="0" fillId="0" borderId="0" xfId="0" applyBorder="1" applyAlignment="1">
      <alignment vertical="center"/>
    </xf>
    <xf numFmtId="164" fontId="6" fillId="0" borderId="0" xfId="0" applyFont="1" applyFill="1" applyBorder="1" applyAlignment="1">
      <alignment horizontal="center"/>
    </xf>
    <xf numFmtId="164" fontId="11" fillId="0" borderId="0" xfId="0" applyFont="1" applyFill="1" applyBorder="1" applyAlignment="1">
      <alignment horizontal="center" vertical="center"/>
    </xf>
    <xf numFmtId="165" fontId="3" fillId="22" borderId="10" xfId="0" applyNumberFormat="1" applyFont="1" applyFill="1" applyBorder="1" applyAlignment="1">
      <alignment vertical="center"/>
    </xf>
    <xf numFmtId="165" fontId="4" fillId="23" borderId="11" xfId="0" applyNumberFormat="1" applyFont="1" applyFill="1" applyBorder="1" applyAlignment="1">
      <alignment vertical="center"/>
    </xf>
    <xf numFmtId="165" fontId="4" fillId="0" borderId="11" xfId="0" applyNumberFormat="1" applyFont="1" applyFill="1" applyBorder="1" applyAlignment="1">
      <alignment/>
    </xf>
    <xf numFmtId="166" fontId="6" fillId="20" borderId="10" xfId="0" applyNumberFormat="1" applyFont="1" applyFill="1" applyBorder="1" applyAlignment="1">
      <alignment vertical="center"/>
    </xf>
    <xf numFmtId="167" fontId="4" fillId="0" borderId="11" xfId="0" applyNumberFormat="1" applyFont="1" applyFill="1" applyBorder="1" applyAlignment="1">
      <alignment vertical="center"/>
    </xf>
    <xf numFmtId="166" fontId="4" fillId="0" borderId="10" xfId="0" applyNumberFormat="1" applyFont="1" applyFill="1" applyBorder="1" applyAlignment="1">
      <alignment vertical="center"/>
    </xf>
    <xf numFmtId="164" fontId="9" fillId="0" borderId="0" xfId="0" applyFont="1" applyFill="1" applyBorder="1" applyAlignment="1">
      <alignment horizontal="center"/>
    </xf>
    <xf numFmtId="165" fontId="4" fillId="22" borderId="14" xfId="0" applyNumberFormat="1" applyFont="1" applyFill="1" applyBorder="1" applyAlignment="1" applyProtection="1">
      <alignment vertical="center"/>
      <protection/>
    </xf>
    <xf numFmtId="165" fontId="4" fillId="22" borderId="13" xfId="0" applyNumberFormat="1" applyFont="1" applyFill="1" applyBorder="1" applyAlignment="1" applyProtection="1">
      <alignment vertical="center"/>
      <protection/>
    </xf>
    <xf numFmtId="165" fontId="13" fillId="20" borderId="12" xfId="0" applyNumberFormat="1" applyFont="1" applyFill="1" applyBorder="1" applyAlignment="1" applyProtection="1">
      <alignment vertical="center"/>
      <protection/>
    </xf>
    <xf numFmtId="165" fontId="4" fillId="20" borderId="12" xfId="0" applyNumberFormat="1" applyFont="1" applyFill="1" applyBorder="1" applyAlignment="1" applyProtection="1">
      <alignment vertical="center"/>
      <protection/>
    </xf>
    <xf numFmtId="165" fontId="4" fillId="20" borderId="14" xfId="0" applyNumberFormat="1" applyFont="1" applyFill="1" applyBorder="1" applyAlignment="1" applyProtection="1">
      <alignment vertical="center"/>
      <protection/>
    </xf>
    <xf numFmtId="165" fontId="4" fillId="20" borderId="13" xfId="0" applyNumberFormat="1" applyFont="1" applyFill="1" applyBorder="1" applyAlignment="1" applyProtection="1">
      <alignment vertical="center"/>
      <protection/>
    </xf>
    <xf numFmtId="165" fontId="4" fillId="23" borderId="16" xfId="0" applyNumberFormat="1" applyFont="1" applyFill="1" applyBorder="1" applyAlignment="1" applyProtection="1">
      <alignment vertical="center"/>
      <protection/>
    </xf>
    <xf numFmtId="165" fontId="4" fillId="23" borderId="17" xfId="0" applyNumberFormat="1" applyFont="1" applyFill="1" applyBorder="1" applyAlignment="1" applyProtection="1">
      <alignment vertical="center"/>
      <protection/>
    </xf>
    <xf numFmtId="165" fontId="4" fillId="0" borderId="24" xfId="0" applyNumberFormat="1" applyFont="1" applyFill="1" applyBorder="1" applyAlignment="1" applyProtection="1">
      <alignment/>
      <protection/>
    </xf>
    <xf numFmtId="165" fontId="4" fillId="0" borderId="25" xfId="0" applyNumberFormat="1" applyFont="1" applyFill="1" applyBorder="1" applyAlignment="1" applyProtection="1">
      <alignment/>
      <protection/>
    </xf>
    <xf numFmtId="165" fontId="4" fillId="0" borderId="26" xfId="0" applyNumberFormat="1" applyFont="1" applyFill="1" applyBorder="1" applyAlignment="1" applyProtection="1">
      <alignment/>
      <protection/>
    </xf>
    <xf numFmtId="165" fontId="13" fillId="0" borderId="23" xfId="0" applyNumberFormat="1" applyFont="1" applyFill="1" applyBorder="1" applyAlignment="1" applyProtection="1">
      <alignment/>
      <protection/>
    </xf>
    <xf numFmtId="164" fontId="18" fillId="0" borderId="0" xfId="0" applyFont="1" applyFill="1" applyBorder="1" applyAlignment="1">
      <alignment horizontal="center" vertical="center"/>
    </xf>
    <xf numFmtId="166" fontId="4" fillId="20" borderId="12" xfId="0" applyNumberFormat="1" applyFont="1" applyFill="1" applyBorder="1" applyAlignment="1" applyProtection="1">
      <alignment vertical="center"/>
      <protection/>
    </xf>
    <xf numFmtId="166" fontId="4" fillId="0" borderId="15" xfId="0" applyNumberFormat="1" applyFont="1" applyFill="1" applyBorder="1" applyAlignment="1" applyProtection="1">
      <alignment vertical="center"/>
      <protection/>
    </xf>
    <xf numFmtId="166" fontId="4" fillId="20" borderId="15" xfId="0" applyNumberFormat="1" applyFont="1" applyFill="1" applyBorder="1" applyAlignment="1" applyProtection="1">
      <alignment vertical="center"/>
      <protection/>
    </xf>
    <xf numFmtId="166" fontId="4" fillId="0" borderId="16" xfId="0" applyNumberFormat="1" applyFont="1" applyFill="1" applyBorder="1" applyAlignment="1" applyProtection="1">
      <alignment vertical="center"/>
      <protection/>
    </xf>
    <xf numFmtId="166" fontId="4" fillId="0" borderId="17" xfId="0" applyNumberFormat="1" applyFont="1" applyFill="1" applyBorder="1" applyAlignment="1" applyProtection="1">
      <alignment vertical="center"/>
      <protection/>
    </xf>
    <xf numFmtId="165" fontId="13" fillId="0" borderId="15" xfId="0" applyNumberFormat="1" applyFont="1" applyFill="1" applyBorder="1" applyAlignment="1" applyProtection="1">
      <alignment vertical="center"/>
      <protection/>
    </xf>
    <xf numFmtId="165" fontId="18" fillId="0" borderId="15" xfId="0" applyNumberFormat="1" applyFont="1" applyFill="1" applyBorder="1" applyAlignment="1" applyProtection="1">
      <alignment vertical="center"/>
      <protection/>
    </xf>
    <xf numFmtId="165" fontId="13" fillId="20" borderId="10" xfId="0" applyNumberFormat="1" applyFont="1" applyFill="1" applyBorder="1" applyAlignment="1">
      <alignment vertical="center"/>
    </xf>
    <xf numFmtId="165" fontId="13" fillId="0" borderId="11" xfId="0" applyNumberFormat="1" applyFont="1" applyFill="1" applyBorder="1" applyAlignment="1">
      <alignment vertical="center"/>
    </xf>
    <xf numFmtId="166" fontId="4" fillId="20" borderId="10" xfId="0" applyNumberFormat="1" applyFont="1" applyFill="1" applyBorder="1" applyAlignment="1">
      <alignment vertical="center"/>
    </xf>
    <xf numFmtId="165" fontId="13" fillId="20" borderId="14" xfId="0" applyNumberFormat="1" applyFont="1" applyFill="1" applyBorder="1" applyAlignment="1" applyProtection="1">
      <alignment vertical="center"/>
      <protection/>
    </xf>
    <xf numFmtId="165" fontId="13" fillId="20" borderId="13" xfId="0" applyNumberFormat="1" applyFont="1" applyFill="1" applyBorder="1" applyAlignment="1" applyProtection="1">
      <alignment vertical="center"/>
      <protection/>
    </xf>
    <xf numFmtId="165" fontId="13" fillId="20" borderId="15" xfId="0" applyNumberFormat="1" applyFont="1" applyFill="1" applyBorder="1" applyAlignment="1" applyProtection="1">
      <alignment/>
      <protection/>
    </xf>
    <xf numFmtId="165" fontId="13" fillId="0" borderId="16" xfId="0" applyNumberFormat="1" applyFont="1" applyFill="1" applyBorder="1" applyAlignment="1" applyProtection="1">
      <alignment/>
      <protection/>
    </xf>
    <xf numFmtId="165" fontId="13" fillId="0" borderId="17" xfId="0" applyNumberFormat="1" applyFont="1" applyFill="1" applyBorder="1" applyAlignment="1" applyProtection="1">
      <alignment/>
      <protection/>
    </xf>
    <xf numFmtId="165" fontId="13" fillId="0" borderId="18" xfId="0" applyNumberFormat="1" applyFont="1" applyFill="1" applyBorder="1" applyAlignment="1" applyProtection="1">
      <alignment/>
      <protection/>
    </xf>
    <xf numFmtId="167" fontId="4" fillId="0" borderId="16" xfId="0" applyNumberFormat="1" applyFont="1" applyFill="1" applyBorder="1" applyAlignment="1" applyProtection="1">
      <alignment vertical="center"/>
      <protection/>
    </xf>
    <xf numFmtId="167" fontId="4" fillId="0" borderId="17" xfId="0" applyNumberFormat="1" applyFont="1" applyFill="1" applyBorder="1" applyAlignment="1" applyProtection="1">
      <alignment vertical="center"/>
      <protection/>
    </xf>
    <xf numFmtId="165" fontId="13" fillId="20" borderId="19" xfId="0" applyNumberFormat="1" applyFont="1" applyFill="1" applyBorder="1" applyAlignment="1" applyProtection="1">
      <alignment/>
      <protection/>
    </xf>
    <xf numFmtId="165" fontId="13" fillId="0" borderId="20" xfId="0" applyNumberFormat="1" applyFont="1" applyFill="1" applyBorder="1" applyAlignment="1" applyProtection="1">
      <alignment/>
      <protection/>
    </xf>
    <xf numFmtId="165" fontId="13" fillId="0" borderId="21" xfId="0" applyNumberFormat="1" applyFont="1" applyFill="1" applyBorder="1" applyAlignment="1" applyProtection="1">
      <alignment/>
      <protection/>
    </xf>
    <xf numFmtId="164" fontId="6" fillId="0" borderId="0" xfId="0" applyFont="1" applyAlignment="1">
      <alignment horizontal="center"/>
    </xf>
    <xf numFmtId="165" fontId="13" fillId="20" borderId="14" xfId="0" applyNumberFormat="1" applyFont="1" applyFill="1" applyBorder="1" applyAlignment="1" applyProtection="1">
      <alignment/>
      <protection/>
    </xf>
    <xf numFmtId="165" fontId="13" fillId="20" borderId="13" xfId="0" applyNumberFormat="1" applyFont="1" applyFill="1" applyBorder="1" applyAlignment="1" applyProtection="1">
      <alignment/>
      <protection/>
    </xf>
    <xf numFmtId="166" fontId="4" fillId="0" borderId="11" xfId="0" applyNumberFormat="1" applyFont="1" applyFill="1" applyBorder="1" applyAlignment="1">
      <alignment vertical="center"/>
    </xf>
    <xf numFmtId="165" fontId="13" fillId="20" borderId="23" xfId="0" applyNumberFormat="1" applyFont="1" applyFill="1" applyBorder="1" applyAlignment="1" applyProtection="1">
      <alignment vertical="center"/>
      <protection/>
    </xf>
    <xf numFmtId="165" fontId="13" fillId="0" borderId="24" xfId="0" applyNumberFormat="1" applyFont="1" applyFill="1" applyBorder="1" applyAlignment="1" applyProtection="1">
      <alignment vertical="center"/>
      <protection/>
    </xf>
    <xf numFmtId="165" fontId="13" fillId="0" borderId="25" xfId="0" applyNumberFormat="1" applyFont="1" applyFill="1" applyBorder="1" applyAlignment="1" applyProtection="1">
      <alignment vertical="center"/>
      <protection/>
    </xf>
    <xf numFmtId="165" fontId="13" fillId="0" borderId="26" xfId="0" applyNumberFormat="1" applyFont="1" applyFill="1" applyBorder="1" applyAlignment="1" applyProtection="1">
      <alignment vertical="center"/>
      <protection/>
    </xf>
    <xf numFmtId="165" fontId="3" fillId="20" borderId="23" xfId="0" applyNumberFormat="1" applyFont="1" applyFill="1" applyBorder="1" applyAlignment="1" applyProtection="1">
      <alignment vertical="center"/>
      <protection/>
    </xf>
    <xf numFmtId="165" fontId="4" fillId="24" borderId="11" xfId="0" applyNumberFormat="1" applyFont="1" applyFill="1" applyBorder="1" applyAlignment="1">
      <alignment vertical="center"/>
    </xf>
    <xf numFmtId="164" fontId="6" fillId="0" borderId="0" xfId="0" applyFont="1" applyFill="1" applyBorder="1" applyAlignment="1">
      <alignment horizontal="center" vertical="center"/>
    </xf>
    <xf numFmtId="165" fontId="4" fillId="0" borderId="21" xfId="0" applyNumberFormat="1" applyFont="1" applyFill="1" applyBorder="1" applyAlignment="1" applyProtection="1">
      <alignment vertical="center"/>
      <protection/>
    </xf>
    <xf numFmtId="164" fontId="28" fillId="20" borderId="0" xfId="0" applyFont="1" applyFill="1" applyBorder="1" applyAlignment="1">
      <alignment/>
    </xf>
    <xf numFmtId="164" fontId="0" fillId="20" borderId="0" xfId="0" applyFill="1" applyBorder="1" applyAlignment="1">
      <alignment/>
    </xf>
    <xf numFmtId="164" fontId="29" fillId="20" borderId="0" xfId="0" applyFont="1" applyFill="1" applyBorder="1" applyAlignment="1">
      <alignment horizontal="left"/>
    </xf>
    <xf numFmtId="164" fontId="29" fillId="20" borderId="0" xfId="0" applyFont="1" applyFill="1" applyBorder="1" applyAlignment="1">
      <alignment/>
    </xf>
    <xf numFmtId="164" fontId="0" fillId="25" borderId="12" xfId="0" applyFill="1" applyBorder="1" applyAlignment="1">
      <alignment/>
    </xf>
    <xf numFmtId="173" fontId="0" fillId="25" borderId="12" xfId="0" applyNumberFormat="1" applyFill="1" applyBorder="1" applyAlignment="1">
      <alignment/>
    </xf>
    <xf numFmtId="10" fontId="0" fillId="25" borderId="12" xfId="0" applyNumberFormat="1" applyFill="1" applyBorder="1" applyAlignment="1">
      <alignment/>
    </xf>
    <xf numFmtId="174" fontId="0" fillId="25" borderId="12" xfId="0" applyNumberFormat="1" applyFill="1" applyBorder="1" applyAlignment="1">
      <alignment/>
    </xf>
    <xf numFmtId="175" fontId="0" fillId="25" borderId="12" xfId="0" applyNumberFormat="1" applyFill="1" applyBorder="1" applyAlignment="1">
      <alignment/>
    </xf>
    <xf numFmtId="2" fontId="0" fillId="25" borderId="12" xfId="0" applyNumberFormat="1" applyFill="1" applyBorder="1" applyAlignment="1">
      <alignment/>
    </xf>
    <xf numFmtId="164" fontId="30" fillId="0" borderId="0" xfId="0" applyFont="1" applyAlignment="1">
      <alignment horizontal="right"/>
    </xf>
    <xf numFmtId="164" fontId="31" fillId="0" borderId="0" xfId="0" applyFont="1" applyAlignment="1">
      <alignment horizontal="center"/>
    </xf>
    <xf numFmtId="164" fontId="30" fillId="0" borderId="0" xfId="0" applyFont="1" applyAlignment="1">
      <alignment horizontal="center"/>
    </xf>
    <xf numFmtId="164" fontId="1" fillId="0" borderId="0" xfId="0" applyFont="1" applyAlignment="1">
      <alignment/>
    </xf>
    <xf numFmtId="176" fontId="0" fillId="0" borderId="12" xfId="0" applyNumberFormat="1" applyBorder="1" applyAlignment="1">
      <alignment/>
    </xf>
    <xf numFmtId="175" fontId="0" fillId="0" borderId="12" xfId="0" applyNumberFormat="1" applyBorder="1" applyAlignment="1">
      <alignment/>
    </xf>
    <xf numFmtId="177" fontId="0" fillId="0" borderId="12" xfId="0" applyNumberFormat="1" applyBorder="1" applyAlignment="1">
      <alignment/>
    </xf>
    <xf numFmtId="174" fontId="0" fillId="0" borderId="12" xfId="0" applyNumberFormat="1" applyBorder="1" applyAlignment="1">
      <alignment/>
    </xf>
    <xf numFmtId="164" fontId="35" fillId="20" borderId="0" xfId="0" applyFont="1" applyFill="1" applyAlignment="1">
      <alignment horizontal="center"/>
    </xf>
    <xf numFmtId="164" fontId="4" fillId="20" borderId="0" xfId="0" applyFont="1" applyFill="1" applyAlignment="1">
      <alignment horizontal="center"/>
    </xf>
    <xf numFmtId="1" fontId="0" fillId="20" borderId="0" xfId="0" applyNumberFormat="1" applyFill="1" applyAlignment="1">
      <alignment/>
    </xf>
    <xf numFmtId="164" fontId="0" fillId="20" borderId="0" xfId="0" applyFont="1" applyFill="1" applyAlignment="1">
      <alignment horizontal="right"/>
    </xf>
    <xf numFmtId="164" fontId="38" fillId="20" borderId="0" xfId="0" applyFont="1" applyFill="1" applyAlignment="1">
      <alignment horizontal="center"/>
    </xf>
    <xf numFmtId="174" fontId="0" fillId="20" borderId="0" xfId="0" applyNumberFormat="1" applyFill="1" applyAlignment="1">
      <alignment/>
    </xf>
    <xf numFmtId="164" fontId="26" fillId="0" borderId="0" xfId="0" applyFont="1" applyAlignment="1">
      <alignment horizontal="center"/>
    </xf>
    <xf numFmtId="164" fontId="2" fillId="0" borderId="0" xfId="64" applyFont="1" applyAlignment="1">
      <alignment vertical="center"/>
      <protection/>
    </xf>
    <xf numFmtId="165" fontId="4" fillId="20" borderId="10" xfId="0" applyNumberFormat="1" applyFont="1" applyFill="1" applyBorder="1" applyAlignment="1">
      <alignment/>
    </xf>
    <xf numFmtId="165" fontId="5" fillId="0" borderId="16" xfId="0" applyNumberFormat="1" applyFont="1" applyFill="1" applyBorder="1" applyAlignment="1" applyProtection="1">
      <alignment/>
      <protection/>
    </xf>
    <xf numFmtId="165" fontId="5" fillId="0" borderId="17" xfId="0" applyNumberFormat="1" applyFont="1" applyFill="1" applyBorder="1" applyAlignment="1" applyProtection="1">
      <alignment/>
      <protection/>
    </xf>
    <xf numFmtId="164" fontId="0" fillId="0" borderId="12" xfId="0" applyBorder="1" applyAlignment="1">
      <alignment/>
    </xf>
    <xf numFmtId="165" fontId="5" fillId="0" borderId="20" xfId="0" applyNumberFormat="1" applyFont="1" applyFill="1" applyBorder="1" applyAlignment="1" applyProtection="1">
      <alignment/>
      <protection/>
    </xf>
    <xf numFmtId="165" fontId="5" fillId="0" borderId="21" xfId="0" applyNumberFormat="1" applyFont="1" applyFill="1" applyBorder="1" applyAlignment="1" applyProtection="1">
      <alignment/>
      <protection/>
    </xf>
    <xf numFmtId="165" fontId="5" fillId="0" borderId="18" xfId="0" applyNumberFormat="1" applyFont="1" applyFill="1" applyBorder="1" applyAlignment="1" applyProtection="1">
      <alignment/>
      <protection/>
    </xf>
    <xf numFmtId="165" fontId="4" fillId="20" borderId="23" xfId="0" applyNumberFormat="1" applyFont="1" applyFill="1" applyBorder="1" applyAlignment="1" applyProtection="1">
      <alignment/>
      <protection/>
    </xf>
    <xf numFmtId="166" fontId="4" fillId="0" borderId="10" xfId="0" applyNumberFormat="1" applyFont="1" applyFill="1" applyBorder="1" applyAlignment="1" applyProtection="1">
      <alignment/>
      <protection/>
    </xf>
    <xf numFmtId="11" fontId="4" fillId="0" borderId="10" xfId="0" applyNumberFormat="1" applyFont="1" applyFill="1" applyBorder="1" applyAlignment="1" applyProtection="1">
      <alignment/>
      <protection/>
    </xf>
    <xf numFmtId="164" fontId="6" fillId="0" borderId="0" xfId="0" applyFont="1" applyAlignment="1">
      <alignment horizontal="right"/>
    </xf>
    <xf numFmtId="10" fontId="4" fillId="0" borderId="0" xfId="0" applyNumberFormat="1" applyFont="1" applyAlignment="1">
      <alignment horizontal="center"/>
    </xf>
    <xf numFmtId="164" fontId="6" fillId="0" borderId="0" xfId="64" applyFont="1" applyAlignment="1" applyProtection="1">
      <alignment horizontal="center" vertical="center"/>
      <protection locked="0"/>
    </xf>
    <xf numFmtId="164" fontId="0" fillId="0" borderId="0" xfId="64" applyAlignment="1">
      <alignment vertical="center"/>
      <protection/>
    </xf>
    <xf numFmtId="164" fontId="11" fillId="0" borderId="0" xfId="0" applyFont="1" applyAlignment="1" applyProtection="1">
      <alignment horizontal="center" vertical="center"/>
      <protection locked="0"/>
    </xf>
    <xf numFmtId="164" fontId="39" fillId="0" borderId="0" xfId="0" applyFont="1" applyAlignment="1">
      <alignment/>
    </xf>
    <xf numFmtId="164" fontId="0" fillId="0" borderId="0" xfId="0" applyFont="1" applyAlignment="1">
      <alignment/>
    </xf>
    <xf numFmtId="164" fontId="11" fillId="0" borderId="0" xfId="0" applyFont="1" applyAlignment="1" applyProtection="1">
      <alignment horizontal="right"/>
      <protection locked="0"/>
    </xf>
    <xf numFmtId="164" fontId="4" fillId="20" borderId="12" xfId="64" applyFont="1" applyFill="1" applyBorder="1" applyAlignment="1" applyProtection="1">
      <alignment vertical="center"/>
      <protection/>
    </xf>
    <xf numFmtId="167" fontId="4" fillId="20" borderId="12" xfId="64" applyNumberFormat="1" applyFont="1" applyFill="1" applyBorder="1" applyAlignment="1" applyProtection="1">
      <alignment vertical="center"/>
      <protection/>
    </xf>
    <xf numFmtId="165" fontId="1" fillId="0" borderId="12" xfId="64" applyNumberFormat="1" applyFont="1" applyBorder="1" applyAlignment="1" applyProtection="1">
      <alignment vertical="center"/>
      <protection/>
    </xf>
    <xf numFmtId="179" fontId="1" fillId="0" borderId="0" xfId="64" applyNumberFormat="1" applyFont="1" applyAlignment="1" applyProtection="1">
      <alignment vertical="center"/>
      <protection/>
    </xf>
    <xf numFmtId="164" fontId="1" fillId="0" borderId="0" xfId="64" applyFont="1" applyAlignment="1">
      <alignment vertical="center"/>
      <protection/>
    </xf>
    <xf numFmtId="164" fontId="6" fillId="0" borderId="0" xfId="0" applyFont="1" applyAlignment="1" applyProtection="1">
      <alignment horizontal="right" vertical="center"/>
      <protection locked="0"/>
    </xf>
    <xf numFmtId="165" fontId="4" fillId="0" borderId="15" xfId="64" applyNumberFormat="1" applyFont="1" applyFill="1" applyBorder="1" applyAlignment="1" applyProtection="1">
      <alignment vertical="center"/>
      <protection/>
    </xf>
    <xf numFmtId="167" fontId="4" fillId="0" borderId="15" xfId="64" applyNumberFormat="1" applyFont="1" applyFill="1" applyBorder="1" applyAlignment="1" applyProtection="1">
      <alignment vertical="center"/>
      <protection/>
    </xf>
    <xf numFmtId="165" fontId="1" fillId="0" borderId="15" xfId="64" applyNumberFormat="1" applyFont="1" applyBorder="1" applyAlignment="1" applyProtection="1">
      <alignment vertical="center"/>
      <protection/>
    </xf>
    <xf numFmtId="164" fontId="6" fillId="0" borderId="0" xfId="0" applyFont="1" applyAlignment="1" applyProtection="1">
      <alignment vertical="center"/>
      <protection locked="0"/>
    </xf>
    <xf numFmtId="164" fontId="0" fillId="0" borderId="0" xfId="64" applyAlignment="1">
      <alignment horizontal="right" vertical="center"/>
      <protection/>
    </xf>
    <xf numFmtId="164" fontId="20" fillId="0" borderId="0" xfId="64" applyFont="1" applyAlignment="1" applyProtection="1">
      <alignment vertical="center"/>
      <protection locked="0"/>
    </xf>
    <xf numFmtId="165" fontId="4" fillId="20" borderId="12" xfId="64" applyNumberFormat="1" applyFont="1" applyFill="1" applyBorder="1" applyAlignment="1" applyProtection="1">
      <alignment vertical="center"/>
      <protection/>
    </xf>
    <xf numFmtId="165" fontId="4" fillId="0" borderId="0" xfId="64" applyNumberFormat="1" applyFont="1" applyBorder="1" applyAlignment="1" applyProtection="1">
      <alignment vertical="center"/>
      <protection/>
    </xf>
    <xf numFmtId="164" fontId="6" fillId="0" borderId="0" xfId="64" applyFont="1" applyAlignment="1" applyProtection="1">
      <alignment vertical="center"/>
      <protection locked="0"/>
    </xf>
    <xf numFmtId="164" fontId="1" fillId="0" borderId="0" xfId="64" applyFont="1" applyAlignment="1" applyProtection="1">
      <alignment vertical="center"/>
      <protection/>
    </xf>
    <xf numFmtId="165" fontId="4" fillId="0" borderId="15" xfId="64" applyNumberFormat="1" applyFont="1" applyBorder="1" applyAlignment="1" applyProtection="1">
      <alignment vertical="center"/>
      <protection/>
    </xf>
    <xf numFmtId="164" fontId="0" fillId="0" borderId="0" xfId="0" applyAlignment="1">
      <alignment horizontal="center"/>
    </xf>
    <xf numFmtId="164" fontId="6" fillId="0" borderId="0" xfId="0" applyFont="1" applyAlignment="1">
      <alignment horizontal="center" vertical="center"/>
    </xf>
    <xf numFmtId="165" fontId="6" fillId="20" borderId="12" xfId="64" applyNumberFormat="1" applyFont="1" applyFill="1" applyBorder="1" applyAlignment="1" applyProtection="1">
      <alignment vertical="center"/>
      <protection/>
    </xf>
    <xf numFmtId="167" fontId="6" fillId="20" borderId="12" xfId="64" applyNumberFormat="1" applyFont="1" applyFill="1" applyBorder="1" applyAlignment="1" applyProtection="1">
      <alignment vertical="center"/>
      <protection/>
    </xf>
    <xf numFmtId="180" fontId="0" fillId="0" borderId="0" xfId="0" applyNumberFormat="1" applyAlignment="1">
      <alignment/>
    </xf>
    <xf numFmtId="164" fontId="6" fillId="0" borderId="0" xfId="0" applyFont="1" applyAlignment="1" applyProtection="1">
      <alignment horizontal="left" vertical="center"/>
      <protection locked="0"/>
    </xf>
    <xf numFmtId="180" fontId="0" fillId="0" borderId="0" xfId="0" applyNumberFormat="1" applyAlignment="1" applyProtection="1">
      <alignment vertical="center"/>
      <protection/>
    </xf>
    <xf numFmtId="164" fontId="20" fillId="0" borderId="0" xfId="0" applyFont="1" applyAlignment="1" applyProtection="1">
      <alignment horizontal="center" vertical="center"/>
      <protection locked="0"/>
    </xf>
    <xf numFmtId="164" fontId="6" fillId="0" borderId="0" xfId="0" applyFont="1" applyAlignment="1" applyProtection="1">
      <alignment horizontal="center" vertical="center"/>
      <protection locked="0"/>
    </xf>
    <xf numFmtId="165" fontId="4" fillId="0" borderId="0" xfId="0" applyNumberFormat="1" applyFont="1" applyAlignment="1" applyProtection="1">
      <alignment vertical="center"/>
      <protection/>
    </xf>
    <xf numFmtId="165" fontId="1" fillId="0" borderId="15" xfId="0" applyNumberFormat="1" applyFont="1" applyBorder="1" applyAlignment="1" applyProtection="1">
      <alignment vertical="center"/>
      <protection/>
    </xf>
    <xf numFmtId="164" fontId="0" fillId="0" borderId="0" xfId="64">
      <alignment/>
      <protection/>
    </xf>
    <xf numFmtId="165" fontId="13" fillId="26" borderId="12" xfId="0" applyNumberFormat="1" applyFont="1" applyFill="1" applyBorder="1" applyAlignment="1" applyProtection="1">
      <alignment vertical="center"/>
      <protection/>
    </xf>
    <xf numFmtId="164" fontId="42" fillId="0" borderId="0" xfId="57" applyAlignment="1">
      <alignment vertical="center"/>
      <protection/>
    </xf>
    <xf numFmtId="166" fontId="6" fillId="20" borderId="13" xfId="0" applyNumberFormat="1" applyFont="1" applyFill="1" applyBorder="1" applyAlignment="1" applyProtection="1">
      <alignment vertical="center"/>
      <protection/>
    </xf>
    <xf numFmtId="164" fontId="43" fillId="0" borderId="0" xfId="0" applyFont="1" applyAlignment="1">
      <alignment vertical="center"/>
    </xf>
    <xf numFmtId="164" fontId="44" fillId="0" borderId="0" xfId="0" applyFont="1" applyFill="1" applyBorder="1" applyAlignment="1">
      <alignment horizontal="center" vertical="center"/>
    </xf>
    <xf numFmtId="167" fontId="6" fillId="20" borderId="13" xfId="0" applyNumberFormat="1" applyFont="1" applyFill="1" applyBorder="1" applyAlignment="1" applyProtection="1">
      <alignment vertical="center"/>
      <protection/>
    </xf>
    <xf numFmtId="164" fontId="46" fillId="0" borderId="0" xfId="0" applyFont="1" applyAlignment="1">
      <alignment horizontal="center" vertical="center"/>
    </xf>
    <xf numFmtId="164" fontId="7" fillId="0" borderId="0" xfId="0" applyFont="1" applyFill="1" applyBorder="1" applyAlignment="1">
      <alignment horizontal="left"/>
    </xf>
    <xf numFmtId="10" fontId="5" fillId="0" borderId="10" xfId="0" applyNumberFormat="1" applyFont="1" applyFill="1" applyBorder="1" applyAlignment="1" applyProtection="1">
      <alignment vertical="center"/>
      <protection/>
    </xf>
    <xf numFmtId="167" fontId="4" fillId="0" borderId="22" xfId="0" applyNumberFormat="1" applyFont="1" applyFill="1" applyBorder="1" applyAlignment="1" applyProtection="1">
      <alignment vertical="center"/>
      <protection/>
    </xf>
    <xf numFmtId="167" fontId="4" fillId="0" borderId="11" xfId="0" applyNumberFormat="1" applyFont="1" applyFill="1" applyBorder="1" applyAlignment="1" applyProtection="1">
      <alignment vertical="center"/>
      <protection/>
    </xf>
    <xf numFmtId="167" fontId="5" fillId="0" borderId="27" xfId="0" applyNumberFormat="1" applyFont="1" applyFill="1" applyBorder="1" applyAlignment="1" applyProtection="1">
      <alignment vertical="center"/>
      <protection/>
    </xf>
    <xf numFmtId="11" fontId="4" fillId="0" borderId="10" xfId="0" applyNumberFormat="1" applyFont="1" applyFill="1" applyBorder="1" applyAlignment="1" applyProtection="1">
      <alignment vertical="center"/>
      <protection/>
    </xf>
    <xf numFmtId="165" fontId="4" fillId="0" borderId="23" xfId="0" applyNumberFormat="1" applyFont="1" applyFill="1" applyBorder="1" applyAlignment="1" applyProtection="1">
      <alignment vertical="center"/>
      <protection/>
    </xf>
    <xf numFmtId="165" fontId="5" fillId="0" borderId="24" xfId="0" applyNumberFormat="1" applyFont="1" applyFill="1" applyBorder="1" applyAlignment="1" applyProtection="1">
      <alignment vertical="center"/>
      <protection/>
    </xf>
    <xf numFmtId="165" fontId="5" fillId="0" borderId="25" xfId="0" applyNumberFormat="1" applyFont="1" applyFill="1" applyBorder="1" applyAlignment="1" applyProtection="1">
      <alignment vertical="center"/>
      <protection/>
    </xf>
    <xf numFmtId="165" fontId="5" fillId="0" borderId="26" xfId="0" applyNumberFormat="1" applyFont="1" applyFill="1" applyBorder="1" applyAlignment="1" applyProtection="1">
      <alignment vertical="center"/>
      <protection/>
    </xf>
    <xf numFmtId="165" fontId="4" fillId="20" borderId="15" xfId="0" applyNumberFormat="1" applyFont="1" applyFill="1" applyBorder="1" applyAlignment="1" applyProtection="1">
      <alignment vertical="center"/>
      <protection/>
    </xf>
    <xf numFmtId="165" fontId="4" fillId="0" borderId="16" xfId="0" applyNumberFormat="1" applyFont="1" applyFill="1" applyBorder="1" applyAlignment="1" applyProtection="1">
      <alignment vertical="center"/>
      <protection/>
    </xf>
    <xf numFmtId="165" fontId="4" fillId="0" borderId="17" xfId="0" applyNumberFormat="1" applyFont="1" applyFill="1" applyBorder="1" applyAlignment="1" applyProtection="1">
      <alignment vertical="center"/>
      <protection/>
    </xf>
    <xf numFmtId="165" fontId="4" fillId="20" borderId="19" xfId="0" applyNumberFormat="1" applyFont="1" applyFill="1" applyBorder="1" applyAlignment="1" applyProtection="1">
      <alignment vertical="center"/>
      <protection/>
    </xf>
    <xf numFmtId="165" fontId="4" fillId="0" borderId="20" xfId="0" applyNumberFormat="1" applyFont="1" applyFill="1" applyBorder="1" applyAlignment="1" applyProtection="1">
      <alignment vertical="center"/>
      <protection/>
    </xf>
    <xf numFmtId="165" fontId="4" fillId="0" borderId="18" xfId="0" applyNumberFormat="1" applyFont="1" applyFill="1" applyBorder="1" applyAlignment="1" applyProtection="1">
      <alignment vertical="center"/>
      <protection/>
    </xf>
    <xf numFmtId="166" fontId="4" fillId="20" borderId="10" xfId="0" applyNumberFormat="1" applyFont="1" applyFill="1" applyBorder="1" applyAlignment="1" applyProtection="1">
      <alignment vertical="center"/>
      <protection/>
    </xf>
    <xf numFmtId="165" fontId="4" fillId="27" borderId="14" xfId="0" applyNumberFormat="1" applyFont="1" applyFill="1" applyBorder="1" applyAlignment="1" applyProtection="1">
      <alignment vertical="center"/>
      <protection/>
    </xf>
    <xf numFmtId="165" fontId="4" fillId="27" borderId="13" xfId="0" applyNumberFormat="1" applyFont="1" applyFill="1" applyBorder="1" applyAlignment="1" applyProtection="1">
      <alignment vertical="center"/>
      <protection/>
    </xf>
    <xf numFmtId="165" fontId="6" fillId="28" borderId="13" xfId="0" applyNumberFormat="1" applyFont="1" applyFill="1" applyBorder="1" applyAlignment="1" applyProtection="1">
      <alignment vertical="center"/>
      <protection/>
    </xf>
    <xf numFmtId="165" fontId="4" fillId="0" borderId="15" xfId="0" applyNumberFormat="1" applyFont="1" applyFill="1" applyBorder="1" applyAlignment="1" applyProtection="1">
      <alignment vertical="center"/>
      <protection/>
    </xf>
    <xf numFmtId="165" fontId="4" fillId="21" borderId="16" xfId="0" applyNumberFormat="1" applyFont="1" applyFill="1" applyBorder="1" applyAlignment="1" applyProtection="1">
      <alignment vertical="center"/>
      <protection/>
    </xf>
    <xf numFmtId="165" fontId="4" fillId="21" borderId="17" xfId="0" applyNumberFormat="1" applyFont="1" applyFill="1" applyBorder="1" applyAlignment="1" applyProtection="1">
      <alignment vertical="center"/>
      <protection/>
    </xf>
    <xf numFmtId="165" fontId="4" fillId="21" borderId="20" xfId="0" applyNumberFormat="1" applyFont="1" applyFill="1" applyBorder="1" applyAlignment="1" applyProtection="1">
      <alignment vertical="center"/>
      <protection/>
    </xf>
    <xf numFmtId="165" fontId="4" fillId="21" borderId="21" xfId="0" applyNumberFormat="1" applyFont="1" applyFill="1" applyBorder="1" applyAlignment="1" applyProtection="1">
      <alignment vertical="center"/>
      <protection/>
    </xf>
    <xf numFmtId="165" fontId="4" fillId="21" borderId="18" xfId="0" applyNumberFormat="1" applyFont="1" applyFill="1" applyBorder="1" applyAlignment="1" applyProtection="1">
      <alignment vertical="center"/>
      <protection/>
    </xf>
    <xf numFmtId="165" fontId="4" fillId="20" borderId="12" xfId="0" applyNumberFormat="1" applyFont="1" applyFill="1" applyBorder="1" applyAlignment="1" applyProtection="1">
      <alignment horizontal="center" vertical="center"/>
      <protection/>
    </xf>
    <xf numFmtId="165" fontId="4" fillId="20" borderId="14" xfId="0" applyNumberFormat="1" applyFont="1" applyFill="1" applyBorder="1" applyAlignment="1" applyProtection="1">
      <alignment horizontal="center" vertical="center"/>
      <protection/>
    </xf>
    <xf numFmtId="165" fontId="4" fillId="20" borderId="13" xfId="0" applyNumberFormat="1" applyFont="1" applyFill="1" applyBorder="1" applyAlignment="1" applyProtection="1">
      <alignment horizontal="center" vertical="center"/>
      <protection/>
    </xf>
    <xf numFmtId="165" fontId="4" fillId="0" borderId="15" xfId="0" applyNumberFormat="1" applyFont="1" applyFill="1" applyBorder="1" applyAlignment="1" applyProtection="1">
      <alignment horizontal="center" vertical="center"/>
      <protection/>
    </xf>
    <xf numFmtId="165" fontId="4" fillId="20" borderId="15" xfId="0" applyNumberFormat="1" applyFont="1" applyFill="1" applyBorder="1" applyAlignment="1" applyProtection="1">
      <alignment horizontal="center" vertical="center"/>
      <protection/>
    </xf>
    <xf numFmtId="165" fontId="4" fillId="0" borderId="16" xfId="0" applyNumberFormat="1" applyFont="1" applyFill="1" applyBorder="1" applyAlignment="1" applyProtection="1">
      <alignment horizontal="center" vertical="center"/>
      <protection/>
    </xf>
    <xf numFmtId="165" fontId="4" fillId="0" borderId="17" xfId="0" applyNumberFormat="1" applyFont="1" applyFill="1" applyBorder="1" applyAlignment="1" applyProtection="1">
      <alignment horizontal="center" vertical="center"/>
      <protection/>
    </xf>
    <xf numFmtId="165" fontId="4" fillId="20" borderId="19" xfId="0" applyNumberFormat="1" applyFont="1" applyFill="1" applyBorder="1" applyAlignment="1" applyProtection="1">
      <alignment horizontal="center" vertical="center"/>
      <protection/>
    </xf>
    <xf numFmtId="165" fontId="4" fillId="0" borderId="20" xfId="0" applyNumberFormat="1" applyFont="1" applyFill="1" applyBorder="1" applyAlignment="1" applyProtection="1">
      <alignment horizontal="center" vertical="center"/>
      <protection/>
    </xf>
    <xf numFmtId="165" fontId="4" fillId="0" borderId="21" xfId="0" applyNumberFormat="1" applyFont="1" applyFill="1" applyBorder="1" applyAlignment="1" applyProtection="1">
      <alignment horizontal="center" vertical="center"/>
      <protection/>
    </xf>
    <xf numFmtId="165" fontId="4" fillId="0" borderId="18" xfId="0" applyNumberFormat="1" applyFont="1" applyFill="1" applyBorder="1" applyAlignment="1" applyProtection="1">
      <alignment horizontal="center" vertical="center"/>
      <protection/>
    </xf>
    <xf numFmtId="165" fontId="6" fillId="20" borderId="23" xfId="0" applyNumberFormat="1" applyFont="1" applyFill="1" applyBorder="1" applyAlignment="1" applyProtection="1">
      <alignment horizontal="center" vertical="center"/>
      <protection/>
    </xf>
    <xf numFmtId="165" fontId="13" fillId="19" borderId="15" xfId="0" applyNumberFormat="1" applyFont="1" applyFill="1" applyBorder="1" applyAlignment="1" applyProtection="1">
      <alignment vertical="center"/>
      <protection/>
    </xf>
    <xf numFmtId="165" fontId="4" fillId="23" borderId="20" xfId="0" applyNumberFormat="1" applyFont="1" applyFill="1" applyBorder="1" applyAlignment="1" applyProtection="1">
      <alignment vertical="center"/>
      <protection/>
    </xf>
    <xf numFmtId="165" fontId="4" fillId="23" borderId="21" xfId="0" applyNumberFormat="1" applyFont="1" applyFill="1" applyBorder="1" applyAlignment="1" applyProtection="1">
      <alignment vertical="center"/>
      <protection/>
    </xf>
    <xf numFmtId="165" fontId="4" fillId="23" borderId="18" xfId="0" applyNumberFormat="1" applyFont="1" applyFill="1" applyBorder="1" applyAlignment="1" applyProtection="1">
      <alignment vertical="center"/>
      <protection/>
    </xf>
    <xf numFmtId="165" fontId="4" fillId="23" borderId="24" xfId="0" applyNumberFormat="1" applyFont="1" applyFill="1" applyBorder="1" applyAlignment="1" applyProtection="1">
      <alignment vertical="center"/>
      <protection/>
    </xf>
    <xf numFmtId="165" fontId="4" fillId="23" borderId="25" xfId="0" applyNumberFormat="1" applyFont="1" applyFill="1" applyBorder="1" applyAlignment="1" applyProtection="1">
      <alignment vertical="center"/>
      <protection/>
    </xf>
    <xf numFmtId="165" fontId="4" fillId="23" borderId="26" xfId="0" applyNumberFormat="1" applyFont="1" applyFill="1" applyBorder="1" applyAlignment="1" applyProtection="1">
      <alignment vertical="center"/>
      <protection/>
    </xf>
    <xf numFmtId="166" fontId="5" fillId="0" borderId="10" xfId="0" applyNumberFormat="1" applyFont="1" applyFill="1" applyBorder="1" applyAlignment="1" applyProtection="1">
      <alignment vertical="center"/>
      <protection/>
    </xf>
    <xf numFmtId="166" fontId="6" fillId="21" borderId="22" xfId="0" applyNumberFormat="1" applyFont="1" applyFill="1" applyBorder="1" applyAlignment="1" applyProtection="1">
      <alignment vertical="center"/>
      <protection/>
    </xf>
    <xf numFmtId="166" fontId="6" fillId="21" borderId="11" xfId="0" applyNumberFormat="1" applyFont="1" applyFill="1" applyBorder="1" applyAlignment="1" applyProtection="1">
      <alignment vertical="center"/>
      <protection/>
    </xf>
    <xf numFmtId="164" fontId="0" fillId="0" borderId="0" xfId="0" applyFill="1" applyAlignment="1">
      <alignment vertical="center"/>
    </xf>
    <xf numFmtId="165" fontId="13" fillId="11" borderId="12" xfId="0" applyNumberFormat="1" applyFont="1" applyFill="1" applyBorder="1" applyAlignment="1" applyProtection="1">
      <alignment vertical="center"/>
      <protection/>
    </xf>
    <xf numFmtId="165" fontId="13" fillId="19" borderId="28" xfId="0" applyNumberFormat="1" applyFont="1" applyFill="1" applyBorder="1" applyAlignment="1" applyProtection="1">
      <alignment vertical="center"/>
      <protection/>
    </xf>
    <xf numFmtId="165" fontId="13" fillId="0" borderId="28" xfId="0" applyNumberFormat="1" applyFont="1" applyFill="1" applyBorder="1" applyAlignment="1" applyProtection="1">
      <alignment vertical="center"/>
      <protection/>
    </xf>
    <xf numFmtId="165" fontId="4" fillId="0" borderId="28" xfId="0" applyNumberFormat="1" applyFont="1" applyFill="1" applyBorder="1" applyAlignment="1" applyProtection="1">
      <alignment horizontal="center" vertical="center"/>
      <protection/>
    </xf>
    <xf numFmtId="165" fontId="6" fillId="0" borderId="29" xfId="0" applyNumberFormat="1" applyFont="1" applyFill="1" applyBorder="1" applyAlignment="1" applyProtection="1">
      <alignment/>
      <protection/>
    </xf>
    <xf numFmtId="165" fontId="6" fillId="20" borderId="12" xfId="0" applyNumberFormat="1" applyFont="1" applyFill="1" applyBorder="1" applyAlignment="1" applyProtection="1">
      <alignment vertical="center"/>
      <protection/>
    </xf>
    <xf numFmtId="164" fontId="0" fillId="11" borderId="0" xfId="0" applyFill="1" applyAlignment="1">
      <alignment/>
    </xf>
    <xf numFmtId="165" fontId="4" fillId="28" borderId="13" xfId="0" applyNumberFormat="1" applyFont="1" applyFill="1" applyBorder="1" applyAlignment="1" applyProtection="1">
      <alignment vertical="center"/>
      <protection/>
    </xf>
    <xf numFmtId="165" fontId="3" fillId="20" borderId="15" xfId="0" applyNumberFormat="1" applyFont="1" applyFill="1" applyBorder="1" applyAlignment="1" applyProtection="1">
      <alignment vertical="center"/>
      <protection/>
    </xf>
    <xf numFmtId="165" fontId="3" fillId="20" borderId="19" xfId="0" applyNumberFormat="1" applyFont="1" applyFill="1" applyBorder="1" applyAlignment="1" applyProtection="1">
      <alignment vertical="center"/>
      <protection/>
    </xf>
    <xf numFmtId="168" fontId="4" fillId="20" borderId="0" xfId="0" applyNumberFormat="1" applyFont="1" applyFill="1" applyAlignment="1">
      <alignment horizontal="left" vertical="center"/>
    </xf>
    <xf numFmtId="169" fontId="4" fillId="20" borderId="0" xfId="0" applyNumberFormat="1" applyFont="1" applyFill="1" applyAlignment="1">
      <alignment horizontal="left" vertical="center"/>
    </xf>
    <xf numFmtId="170" fontId="4" fillId="20" borderId="0" xfId="0" applyNumberFormat="1" applyFont="1" applyFill="1" applyAlignment="1">
      <alignment horizontal="left" vertical="center"/>
    </xf>
    <xf numFmtId="164" fontId="6" fillId="20" borderId="0" xfId="0" applyFont="1" applyFill="1" applyAlignment="1">
      <alignment horizontal="right" vertical="center"/>
    </xf>
    <xf numFmtId="171" fontId="4" fillId="20" borderId="0" xfId="0" applyNumberFormat="1" applyFont="1" applyFill="1" applyAlignment="1">
      <alignment horizontal="left" vertical="center"/>
    </xf>
    <xf numFmtId="164" fontId="0" fillId="20" borderId="0" xfId="0" applyFill="1" applyAlignment="1">
      <alignment vertical="center" wrapText="1"/>
    </xf>
    <xf numFmtId="164" fontId="8" fillId="0" borderId="0" xfId="0" applyFont="1" applyFill="1" applyBorder="1" applyAlignment="1">
      <alignment horizontal="center" vertical="center" wrapText="1"/>
    </xf>
    <xf numFmtId="166" fontId="4" fillId="20" borderId="19" xfId="0" applyNumberFormat="1" applyFont="1" applyFill="1" applyBorder="1" applyAlignment="1" applyProtection="1">
      <alignment vertical="center"/>
      <protection/>
    </xf>
    <xf numFmtId="166" fontId="4" fillId="0" borderId="20" xfId="0" applyNumberFormat="1" applyFont="1" applyFill="1" applyBorder="1" applyAlignment="1" applyProtection="1">
      <alignment vertical="center"/>
      <protection/>
    </xf>
    <xf numFmtId="166" fontId="4" fillId="0" borderId="21" xfId="0" applyNumberFormat="1" applyFont="1" applyFill="1" applyBorder="1" applyAlignment="1" applyProtection="1">
      <alignment vertical="center"/>
      <protection/>
    </xf>
    <xf numFmtId="166" fontId="4" fillId="0" borderId="18" xfId="0" applyNumberFormat="1" applyFont="1" applyFill="1" applyBorder="1" applyAlignment="1" applyProtection="1">
      <alignment vertical="center"/>
      <protection/>
    </xf>
    <xf numFmtId="166" fontId="4" fillId="0" borderId="28" xfId="0" applyNumberFormat="1" applyFont="1" applyFill="1" applyBorder="1" applyAlignment="1" applyProtection="1">
      <alignment vertical="center"/>
      <protection/>
    </xf>
    <xf numFmtId="166" fontId="4" fillId="0" borderId="24" xfId="0" applyNumberFormat="1" applyFont="1" applyFill="1" applyBorder="1" applyAlignment="1" applyProtection="1">
      <alignment vertical="center"/>
      <protection/>
    </xf>
    <xf numFmtId="166" fontId="4" fillId="0" borderId="25" xfId="0" applyNumberFormat="1" applyFont="1" applyFill="1" applyBorder="1" applyAlignment="1" applyProtection="1">
      <alignment vertical="center"/>
      <protection/>
    </xf>
    <xf numFmtId="164" fontId="19" fillId="0" borderId="0" xfId="0" applyFont="1" applyFill="1" applyBorder="1" applyAlignment="1">
      <alignment horizontal="center" vertical="center"/>
    </xf>
    <xf numFmtId="166" fontId="6" fillId="0" borderId="28" xfId="0" applyNumberFormat="1" applyFont="1" applyFill="1" applyBorder="1" applyAlignment="1" applyProtection="1">
      <alignment vertical="center"/>
      <protection/>
    </xf>
    <xf numFmtId="165" fontId="18" fillId="0" borderId="28" xfId="0" applyNumberFormat="1" applyFont="1" applyFill="1" applyBorder="1" applyAlignment="1" applyProtection="1">
      <alignment vertical="center"/>
      <protection/>
    </xf>
    <xf numFmtId="165" fontId="6" fillId="0" borderId="28" xfId="0" applyNumberFormat="1" applyFont="1" applyFill="1" applyBorder="1" applyAlignment="1" applyProtection="1">
      <alignment vertical="center"/>
      <protection/>
    </xf>
    <xf numFmtId="166" fontId="16" fillId="0" borderId="0" xfId="0" applyNumberFormat="1" applyFont="1" applyFill="1" applyBorder="1" applyAlignment="1" applyProtection="1">
      <alignment vertical="center"/>
      <protection/>
    </xf>
    <xf numFmtId="165" fontId="13" fillId="20" borderId="15" xfId="0" applyNumberFormat="1" applyFont="1" applyFill="1" applyBorder="1" applyAlignment="1" applyProtection="1">
      <alignment vertical="center"/>
      <protection/>
    </xf>
    <xf numFmtId="165" fontId="13" fillId="0" borderId="16" xfId="0" applyNumberFormat="1" applyFont="1" applyFill="1" applyBorder="1" applyAlignment="1" applyProtection="1">
      <alignment vertical="center"/>
      <protection/>
    </xf>
    <xf numFmtId="165" fontId="13" fillId="0" borderId="17" xfId="0" applyNumberFormat="1" applyFont="1" applyFill="1" applyBorder="1" applyAlignment="1" applyProtection="1">
      <alignment vertical="center"/>
      <protection/>
    </xf>
    <xf numFmtId="165" fontId="13" fillId="20" borderId="19" xfId="0" applyNumberFormat="1" applyFont="1" applyFill="1" applyBorder="1" applyAlignment="1" applyProtection="1">
      <alignment vertical="center"/>
      <protection/>
    </xf>
    <xf numFmtId="165" fontId="13" fillId="0" borderId="20" xfId="0" applyNumberFormat="1" applyFont="1" applyFill="1" applyBorder="1" applyAlignment="1" applyProtection="1">
      <alignment vertical="center"/>
      <protection/>
    </xf>
    <xf numFmtId="165" fontId="13" fillId="0" borderId="21" xfId="0" applyNumberFormat="1" applyFont="1" applyFill="1" applyBorder="1" applyAlignment="1" applyProtection="1">
      <alignment vertical="center"/>
      <protection/>
    </xf>
    <xf numFmtId="165" fontId="13" fillId="0" borderId="18" xfId="0" applyNumberFormat="1" applyFont="1" applyFill="1" applyBorder="1" applyAlignment="1" applyProtection="1">
      <alignment vertical="center"/>
      <protection/>
    </xf>
    <xf numFmtId="167" fontId="4" fillId="0" borderId="20" xfId="0" applyNumberFormat="1" applyFont="1" applyFill="1" applyBorder="1" applyAlignment="1" applyProtection="1">
      <alignment vertical="center"/>
      <protection/>
    </xf>
    <xf numFmtId="167" fontId="4" fillId="0" borderId="21" xfId="0" applyNumberFormat="1" applyFont="1" applyFill="1" applyBorder="1" applyAlignment="1" applyProtection="1">
      <alignment vertical="center"/>
      <protection/>
    </xf>
    <xf numFmtId="167" fontId="4" fillId="0" borderId="18" xfId="0" applyNumberFormat="1" applyFont="1" applyFill="1" applyBorder="1" applyAlignment="1" applyProtection="1">
      <alignment vertical="center"/>
      <protection/>
    </xf>
    <xf numFmtId="167" fontId="4" fillId="0" borderId="24" xfId="0" applyNumberFormat="1" applyFont="1" applyFill="1" applyBorder="1" applyAlignment="1" applyProtection="1">
      <alignment vertical="center"/>
      <protection/>
    </xf>
    <xf numFmtId="167" fontId="4" fillId="0" borderId="25" xfId="0" applyNumberFormat="1" applyFont="1" applyFill="1" applyBorder="1" applyAlignment="1" applyProtection="1">
      <alignment vertical="center"/>
      <protection/>
    </xf>
    <xf numFmtId="164" fontId="0" fillId="11" borderId="0" xfId="0" applyFill="1" applyAlignment="1">
      <alignment vertical="center"/>
    </xf>
    <xf numFmtId="165" fontId="6" fillId="20" borderId="23" xfId="0" applyNumberFormat="1" applyFont="1" applyFill="1" applyBorder="1" applyAlignment="1" applyProtection="1">
      <alignment vertical="center"/>
      <protection/>
    </xf>
    <xf numFmtId="167" fontId="4" fillId="0" borderId="15" xfId="0" applyNumberFormat="1" applyFont="1" applyFill="1" applyBorder="1" applyAlignment="1" applyProtection="1">
      <alignment vertical="center"/>
      <protection/>
    </xf>
    <xf numFmtId="165" fontId="4" fillId="8" borderId="17" xfId="0" applyNumberFormat="1" applyFont="1" applyFill="1" applyBorder="1" applyAlignment="1" applyProtection="1">
      <alignment vertical="center"/>
      <protection/>
    </xf>
    <xf numFmtId="165" fontId="4" fillId="8" borderId="20" xfId="0" applyNumberFormat="1" applyFont="1" applyFill="1" applyBorder="1" applyAlignment="1" applyProtection="1">
      <alignment vertical="center"/>
      <protection/>
    </xf>
    <xf numFmtId="165" fontId="4" fillId="8" borderId="21" xfId="0" applyNumberFormat="1" applyFont="1" applyFill="1" applyBorder="1" applyAlignment="1" applyProtection="1">
      <alignment vertical="center"/>
      <protection/>
    </xf>
    <xf numFmtId="165" fontId="4" fillId="8" borderId="18" xfId="0" applyNumberFormat="1" applyFont="1" applyFill="1" applyBorder="1" applyAlignment="1" applyProtection="1">
      <alignment vertical="center"/>
      <protection/>
    </xf>
    <xf numFmtId="165" fontId="4" fillId="8" borderId="24" xfId="0" applyNumberFormat="1" applyFont="1" applyFill="1" applyBorder="1" applyAlignment="1" applyProtection="1">
      <alignment vertical="center"/>
      <protection/>
    </xf>
    <xf numFmtId="165" fontId="4" fillId="8" borderId="25" xfId="0" applyNumberFormat="1" applyFont="1" applyFill="1" applyBorder="1" applyAlignment="1" applyProtection="1">
      <alignment vertical="center"/>
      <protection/>
    </xf>
    <xf numFmtId="165" fontId="6" fillId="8" borderId="26" xfId="0" applyNumberFormat="1" applyFont="1" applyFill="1" applyBorder="1" applyAlignment="1" applyProtection="1">
      <alignment vertical="center"/>
      <protection/>
    </xf>
    <xf numFmtId="165" fontId="6" fillId="0" borderId="26" xfId="0" applyNumberFormat="1" applyFont="1" applyFill="1" applyBorder="1" applyAlignment="1" applyProtection="1">
      <alignment vertical="center"/>
      <protection/>
    </xf>
    <xf numFmtId="164" fontId="0" fillId="0" borderId="0" xfId="0" applyFill="1" applyBorder="1" applyAlignment="1">
      <alignment vertical="center"/>
    </xf>
    <xf numFmtId="164" fontId="0" fillId="0" borderId="0" xfId="0" applyFill="1" applyAlignment="1">
      <alignment vertical="center" wrapText="1"/>
    </xf>
    <xf numFmtId="164" fontId="0" fillId="0" borderId="0" xfId="0" applyFill="1" applyAlignment="1">
      <alignment/>
    </xf>
    <xf numFmtId="165" fontId="13" fillId="0" borderId="30" xfId="0" applyNumberFormat="1" applyFont="1" applyFill="1" applyBorder="1" applyAlignment="1">
      <alignment vertical="center"/>
    </xf>
    <xf numFmtId="165" fontId="4" fillId="0" borderId="30" xfId="0" applyNumberFormat="1" applyFont="1" applyFill="1" applyBorder="1" applyAlignment="1">
      <alignment vertical="center"/>
    </xf>
    <xf numFmtId="165" fontId="13" fillId="0" borderId="31" xfId="0" applyNumberFormat="1" applyFont="1" applyFill="1" applyBorder="1" applyAlignment="1" applyProtection="1">
      <alignment vertical="center"/>
      <protection/>
    </xf>
    <xf numFmtId="164" fontId="6" fillId="0" borderId="0" xfId="0" applyFont="1" applyFill="1" applyBorder="1" applyAlignment="1">
      <alignment horizontal="center" vertical="center" wrapText="1"/>
    </xf>
    <xf numFmtId="164" fontId="6" fillId="0" borderId="0" xfId="57" applyFont="1" applyFill="1" applyBorder="1" applyAlignment="1">
      <alignment horizontal="center" vertical="center"/>
      <protection/>
    </xf>
    <xf numFmtId="165" fontId="4" fillId="8" borderId="32" xfId="0" applyNumberFormat="1" applyFont="1" applyFill="1" applyBorder="1" applyAlignment="1" applyProtection="1">
      <alignment vertical="center"/>
      <protection/>
    </xf>
    <xf numFmtId="166" fontId="18" fillId="20" borderId="12" xfId="0" applyNumberFormat="1" applyFont="1" applyFill="1" applyBorder="1" applyAlignment="1" applyProtection="1">
      <alignment vertical="center"/>
      <protection/>
    </xf>
    <xf numFmtId="164" fontId="42" fillId="0" borderId="0" xfId="62" applyAlignment="1">
      <alignment vertical="center"/>
      <protection/>
    </xf>
    <xf numFmtId="164" fontId="6" fillId="0" borderId="0" xfId="59" applyFont="1" applyFill="1" applyBorder="1" applyAlignment="1">
      <alignment horizontal="left" vertical="center"/>
      <protection/>
    </xf>
    <xf numFmtId="164" fontId="6" fillId="0" borderId="0" xfId="62" applyFont="1" applyFill="1" applyBorder="1" applyAlignment="1" quotePrefix="1">
      <alignment horizontal="left" vertical="center"/>
      <protection/>
    </xf>
    <xf numFmtId="165" fontId="13" fillId="20" borderId="31" xfId="0" applyNumberFormat="1" applyFont="1" applyFill="1" applyBorder="1" applyAlignment="1">
      <alignment/>
    </xf>
    <xf numFmtId="165" fontId="13" fillId="0" borderId="33" xfId="0" applyNumberFormat="1" applyFont="1" applyFill="1" applyBorder="1" applyAlignment="1">
      <alignment/>
    </xf>
    <xf numFmtId="165" fontId="13" fillId="20" borderId="34" xfId="0" applyNumberFormat="1" applyFont="1" applyFill="1" applyBorder="1" applyAlignment="1" applyProtection="1">
      <alignment/>
      <protection/>
    </xf>
    <xf numFmtId="165" fontId="13" fillId="0" borderId="35" xfId="0" applyNumberFormat="1" applyFont="1" applyFill="1" applyBorder="1" applyAlignment="1" applyProtection="1">
      <alignment/>
      <protection/>
    </xf>
    <xf numFmtId="165" fontId="13" fillId="0" borderId="36" xfId="0" applyNumberFormat="1" applyFont="1" applyFill="1" applyBorder="1" applyAlignment="1" applyProtection="1">
      <alignment/>
      <protection/>
    </xf>
    <xf numFmtId="165" fontId="3" fillId="20" borderId="10" xfId="0" applyNumberFormat="1" applyFont="1" applyFill="1" applyBorder="1" applyAlignment="1">
      <alignment/>
    </xf>
    <xf numFmtId="165" fontId="3" fillId="20" borderId="15" xfId="0" applyNumberFormat="1" applyFont="1" applyFill="1" applyBorder="1" applyAlignment="1" applyProtection="1">
      <alignment/>
      <protection/>
    </xf>
    <xf numFmtId="165" fontId="3" fillId="20" borderId="19" xfId="0" applyNumberFormat="1" applyFont="1" applyFill="1" applyBorder="1" applyAlignment="1" applyProtection="1">
      <alignment/>
      <protection/>
    </xf>
    <xf numFmtId="165" fontId="13" fillId="8" borderId="28" xfId="0" applyNumberFormat="1" applyFont="1" applyFill="1" applyBorder="1" applyAlignment="1" applyProtection="1">
      <alignment vertical="center"/>
      <protection/>
    </xf>
    <xf numFmtId="164" fontId="18" fillId="0" borderId="0" xfId="59" applyFont="1" applyFill="1" applyBorder="1" applyAlignment="1">
      <alignment horizontal="left" vertical="center"/>
      <protection/>
    </xf>
    <xf numFmtId="164" fontId="17" fillId="0" borderId="0" xfId="0" applyFont="1" applyAlignment="1">
      <alignment horizontal="center" vertical="center"/>
    </xf>
    <xf numFmtId="164" fontId="13" fillId="0" borderId="0" xfId="59" applyFont="1" applyFill="1" applyBorder="1" applyAlignment="1">
      <alignment horizontal="right" vertical="center" indent="1"/>
      <protection/>
    </xf>
    <xf numFmtId="164" fontId="13" fillId="0" borderId="0" xfId="61" applyFont="1" applyFill="1" applyBorder="1" applyAlignment="1">
      <alignment horizontal="center" vertical="center"/>
      <protection/>
    </xf>
    <xf numFmtId="164" fontId="49" fillId="0" borderId="0" xfId="0" applyFont="1" applyFill="1" applyBorder="1" applyAlignment="1">
      <alignment horizontal="center" vertical="center"/>
    </xf>
    <xf numFmtId="164" fontId="13" fillId="0" borderId="0" xfId="0" applyFont="1" applyFill="1" applyBorder="1" applyAlignment="1">
      <alignment horizontal="center"/>
    </xf>
    <xf numFmtId="166" fontId="4" fillId="0" borderId="15" xfId="0" applyNumberFormat="1" applyFont="1" applyFill="1" applyBorder="1" applyAlignment="1" applyProtection="1">
      <alignment horizontal="right" vertical="center"/>
      <protection/>
    </xf>
    <xf numFmtId="166" fontId="4" fillId="0" borderId="28" xfId="0" applyNumberFormat="1" applyFont="1" applyFill="1" applyBorder="1" applyAlignment="1" applyProtection="1">
      <alignment horizontal="right" vertical="center"/>
      <protection/>
    </xf>
    <xf numFmtId="165" fontId="6" fillId="0" borderId="30" xfId="0" applyNumberFormat="1" applyFont="1" applyFill="1" applyBorder="1" applyAlignment="1">
      <alignment vertical="center"/>
    </xf>
    <xf numFmtId="166" fontId="4" fillId="21" borderId="30" xfId="0" applyNumberFormat="1" applyFont="1" applyFill="1" applyBorder="1" applyAlignment="1" applyProtection="1">
      <alignment vertical="center"/>
      <protection/>
    </xf>
    <xf numFmtId="165" fontId="4" fillId="23" borderId="30" xfId="0" applyNumberFormat="1" applyFont="1" applyFill="1" applyBorder="1" applyAlignment="1">
      <alignment vertical="center"/>
    </xf>
    <xf numFmtId="167" fontId="4" fillId="0" borderId="30" xfId="0" applyNumberFormat="1" applyFont="1" applyFill="1" applyBorder="1" applyAlignment="1">
      <alignment vertical="center"/>
    </xf>
    <xf numFmtId="166" fontId="4" fillId="0" borderId="30" xfId="0" applyNumberFormat="1" applyFont="1" applyFill="1" applyBorder="1" applyAlignment="1">
      <alignment vertical="center"/>
    </xf>
    <xf numFmtId="165" fontId="4" fillId="24" borderId="30" xfId="0" applyNumberFormat="1" applyFont="1" applyFill="1" applyBorder="1" applyAlignment="1">
      <alignment vertical="center"/>
    </xf>
    <xf numFmtId="167" fontId="4" fillId="0" borderId="30" xfId="0" applyNumberFormat="1" applyFont="1" applyFill="1" applyBorder="1" applyAlignment="1" applyProtection="1">
      <alignment vertical="center"/>
      <protection/>
    </xf>
    <xf numFmtId="165" fontId="13" fillId="0" borderId="37" xfId="0" applyNumberFormat="1" applyFont="1" applyFill="1" applyBorder="1" applyAlignment="1">
      <alignment/>
    </xf>
    <xf numFmtId="165" fontId="4" fillId="0" borderId="30" xfId="0" applyNumberFormat="1" applyFont="1" applyFill="1" applyBorder="1" applyAlignment="1">
      <alignment/>
    </xf>
    <xf numFmtId="166" fontId="6" fillId="21" borderId="30" xfId="0" applyNumberFormat="1" applyFont="1" applyFill="1" applyBorder="1" applyAlignment="1" applyProtection="1">
      <alignment vertical="center"/>
      <protection/>
    </xf>
    <xf numFmtId="164" fontId="33" fillId="0" borderId="0" xfId="0" applyFont="1" applyAlignment="1" quotePrefix="1">
      <alignment horizontal="center"/>
    </xf>
    <xf numFmtId="164" fontId="13" fillId="0" borderId="0" xfId="0" applyFont="1" applyFill="1" applyBorder="1" applyAlignment="1">
      <alignment horizontal="center" vertical="center"/>
    </xf>
    <xf numFmtId="165" fontId="16" fillId="0" borderId="0" xfId="0" applyNumberFormat="1" applyFont="1" applyFill="1" applyBorder="1" applyAlignment="1" applyProtection="1">
      <alignment horizontal="right" vertical="center"/>
      <protection/>
    </xf>
    <xf numFmtId="165" fontId="48" fillId="20" borderId="0" xfId="0" applyNumberFormat="1" applyFont="1" applyFill="1" applyBorder="1" applyAlignment="1">
      <alignment vertical="center"/>
    </xf>
    <xf numFmtId="165" fontId="16" fillId="0" borderId="0" xfId="0" applyNumberFormat="1" applyFont="1" applyFill="1" applyBorder="1" applyAlignment="1">
      <alignment vertical="center"/>
    </xf>
    <xf numFmtId="165" fontId="48" fillId="20" borderId="0" xfId="0" applyNumberFormat="1" applyFont="1" applyFill="1" applyBorder="1" applyAlignment="1" applyProtection="1">
      <alignment vertical="center"/>
      <protection/>
    </xf>
    <xf numFmtId="165" fontId="48" fillId="11" borderId="0" xfId="0" applyNumberFormat="1" applyFont="1" applyFill="1" applyBorder="1" applyAlignment="1" applyProtection="1">
      <alignment vertical="center"/>
      <protection/>
    </xf>
    <xf numFmtId="166" fontId="5" fillId="0" borderId="0" xfId="0" applyNumberFormat="1" applyFont="1" applyFill="1" applyBorder="1" applyAlignment="1" applyProtection="1">
      <alignment vertical="center"/>
      <protection/>
    </xf>
    <xf numFmtId="164" fontId="6" fillId="0" borderId="0" xfId="59" applyFont="1" applyAlignment="1" quotePrefix="1">
      <alignment horizontal="left" vertical="center"/>
      <protection/>
    </xf>
    <xf numFmtId="164" fontId="0" fillId="20" borderId="0" xfId="0" applyFont="1" applyFill="1" applyAlignment="1">
      <alignment/>
    </xf>
    <xf numFmtId="165" fontId="6" fillId="0" borderId="38" xfId="0" applyNumberFormat="1" applyFont="1" applyFill="1" applyBorder="1" applyAlignment="1" applyProtection="1">
      <alignment vertical="center"/>
      <protection/>
    </xf>
    <xf numFmtId="164" fontId="42" fillId="0" borderId="0" xfId="58" applyAlignment="1">
      <alignment vertical="center"/>
      <protection/>
    </xf>
    <xf numFmtId="164" fontId="42" fillId="0" borderId="0" xfId="58" applyAlignment="1">
      <alignment/>
      <protection/>
    </xf>
    <xf numFmtId="164" fontId="6" fillId="0" borderId="0" xfId="60" applyFont="1" applyFill="1" applyBorder="1" applyAlignment="1" quotePrefix="1">
      <alignment horizontal="right" vertical="center" indent="1"/>
      <protection/>
    </xf>
    <xf numFmtId="164" fontId="6" fillId="0" borderId="0" xfId="60" applyFont="1" applyFill="1" applyBorder="1" applyAlignment="1">
      <alignment horizontal="right" vertical="center" indent="1"/>
      <protection/>
    </xf>
    <xf numFmtId="164" fontId="6" fillId="0" borderId="0" xfId="57" applyFont="1" applyFill="1" applyBorder="1" applyAlignment="1">
      <alignment horizontal="right" vertical="center" indent="1"/>
      <protection/>
    </xf>
    <xf numFmtId="164" fontId="11" fillId="0" borderId="0" xfId="0" applyFont="1" applyFill="1" applyBorder="1" applyAlignment="1">
      <alignment horizontal="left" vertical="center"/>
    </xf>
    <xf numFmtId="164" fontId="6" fillId="0" borderId="0" xfId="57" applyFont="1" applyFill="1" applyBorder="1" applyAlignment="1">
      <alignment horizontal="right" vertical="center"/>
      <protection/>
    </xf>
    <xf numFmtId="164" fontId="6" fillId="0" borderId="0" xfId="0" applyFont="1" applyFill="1" applyBorder="1" applyAlignment="1" quotePrefix="1">
      <alignment horizontal="right" vertical="center" indent="1"/>
    </xf>
    <xf numFmtId="164" fontId="6" fillId="0" borderId="0" xfId="0" applyFont="1" applyFill="1" applyBorder="1" applyAlignment="1" quotePrefix="1">
      <alignment horizontal="right" vertical="center"/>
    </xf>
    <xf numFmtId="166" fontId="4" fillId="0" borderId="38" xfId="58" applyNumberFormat="1" applyFont="1" applyFill="1" applyBorder="1" applyAlignment="1">
      <alignment vertical="center"/>
      <protection/>
    </xf>
    <xf numFmtId="164" fontId="24" fillId="0" borderId="0" xfId="0" applyFont="1" applyFill="1" applyBorder="1" applyAlignment="1">
      <alignment horizontal="center"/>
    </xf>
    <xf numFmtId="164" fontId="8" fillId="0" borderId="0" xfId="0" applyFont="1" applyFill="1" applyBorder="1" applyAlignment="1" quotePrefix="1">
      <alignment horizontal="center" vertical="center"/>
    </xf>
    <xf numFmtId="164" fontId="6" fillId="0" borderId="0" xfId="0" applyFont="1" applyFill="1" applyBorder="1" applyAlignment="1" quotePrefix="1">
      <alignment horizontal="left" vertical="center"/>
    </xf>
    <xf numFmtId="164" fontId="13" fillId="0" borderId="0" xfId="58" applyFont="1" applyFill="1" applyBorder="1" applyAlignment="1">
      <alignment horizontal="right" indent="1"/>
      <protection/>
    </xf>
    <xf numFmtId="164" fontId="13" fillId="0" borderId="0" xfId="59" applyFont="1" applyFill="1" applyBorder="1" applyAlignment="1" quotePrefix="1">
      <alignment horizontal="right" indent="1"/>
      <protection/>
    </xf>
    <xf numFmtId="164" fontId="52" fillId="0" borderId="0" xfId="62" applyFont="1" applyAlignment="1">
      <alignment horizontal="center"/>
      <protection/>
    </xf>
    <xf numFmtId="165" fontId="13" fillId="20" borderId="10" xfId="0" applyNumberFormat="1" applyFont="1" applyFill="1" applyBorder="1" applyAlignment="1">
      <alignment horizontal="right" vertical="center"/>
    </xf>
    <xf numFmtId="164" fontId="22" fillId="0" borderId="0" xfId="62" applyFont="1" applyFill="1" applyBorder="1" applyAlignment="1" quotePrefix="1">
      <alignment horizontal="right" indent="2"/>
      <protection/>
    </xf>
    <xf numFmtId="164" fontId="23" fillId="0" borderId="0" xfId="60" applyFont="1" applyFill="1" applyBorder="1" applyAlignment="1">
      <alignment horizontal="left" vertical="center"/>
      <protection/>
    </xf>
    <xf numFmtId="164" fontId="13" fillId="0" borderId="0" xfId="60" applyFont="1" applyFill="1" applyBorder="1" applyAlignment="1" quotePrefix="1">
      <alignment horizontal="left" vertical="center"/>
      <protection/>
    </xf>
    <xf numFmtId="164" fontId="6" fillId="0" borderId="0" xfId="58" applyFont="1" applyFill="1" applyBorder="1" applyAlignment="1" quotePrefix="1">
      <alignment horizontal="center" vertical="center"/>
      <protection/>
    </xf>
    <xf numFmtId="165" fontId="54" fillId="20" borderId="10" xfId="0" applyNumberFormat="1" applyFont="1" applyFill="1" applyBorder="1" applyAlignment="1">
      <alignment vertical="center"/>
    </xf>
    <xf numFmtId="164" fontId="6" fillId="0" borderId="18" xfId="0" applyFont="1" applyFill="1" applyBorder="1" applyAlignment="1">
      <alignment vertical="center" wrapText="1"/>
    </xf>
    <xf numFmtId="165" fontId="6" fillId="0" borderId="0" xfId="0" applyNumberFormat="1" applyFont="1" applyFill="1" applyBorder="1" applyAlignment="1" applyProtection="1">
      <alignment vertical="center"/>
      <protection/>
    </xf>
    <xf numFmtId="164" fontId="6" fillId="0" borderId="0" xfId="59" applyFont="1" applyFill="1" applyBorder="1" applyAlignment="1">
      <alignment horizontal="left"/>
      <protection/>
    </xf>
    <xf numFmtId="164" fontId="11" fillId="0" borderId="0" xfId="0" applyFont="1" applyFill="1" applyBorder="1" applyAlignment="1" quotePrefix="1">
      <alignment horizontal="center"/>
    </xf>
    <xf numFmtId="164" fontId="50" fillId="0" borderId="0" xfId="0" applyFont="1" applyFill="1" applyBorder="1" applyAlignment="1">
      <alignment horizontal="center"/>
    </xf>
    <xf numFmtId="165" fontId="13" fillId="29" borderId="12" xfId="0" applyNumberFormat="1" applyFont="1" applyFill="1" applyBorder="1" applyAlignment="1" applyProtection="1">
      <alignment vertical="center"/>
      <protection/>
    </xf>
    <xf numFmtId="165" fontId="13" fillId="8" borderId="15" xfId="0" applyNumberFormat="1" applyFont="1" applyFill="1" applyBorder="1" applyAlignment="1" applyProtection="1">
      <alignment vertical="center"/>
      <protection/>
    </xf>
    <xf numFmtId="164" fontId="6" fillId="0" borderId="0" xfId="0" applyFont="1" applyAlignment="1" quotePrefix="1">
      <alignment horizontal="left" vertical="center"/>
    </xf>
    <xf numFmtId="164" fontId="6" fillId="0" borderId="0" xfId="59" applyFont="1" applyFill="1" applyBorder="1" applyAlignment="1" quotePrefix="1">
      <alignment horizontal="right" vertical="center"/>
      <protection/>
    </xf>
    <xf numFmtId="164" fontId="7" fillId="0" borderId="0" xfId="59" applyFont="1" applyFill="1" applyBorder="1" applyAlignment="1" quotePrefix="1">
      <alignment horizontal="left" vertical="center"/>
      <protection/>
    </xf>
    <xf numFmtId="164" fontId="13" fillId="0" borderId="0" xfId="57" applyFont="1" applyFill="1" applyBorder="1" applyAlignment="1">
      <alignment horizontal="right" vertical="center" indent="1"/>
      <protection/>
    </xf>
    <xf numFmtId="164" fontId="13" fillId="0" borderId="0" xfId="57" applyFont="1" applyFill="1" applyBorder="1" applyAlignment="1">
      <alignment horizontal="right"/>
      <protection/>
    </xf>
    <xf numFmtId="164" fontId="55" fillId="0" borderId="0" xfId="62" applyFont="1" applyAlignment="1">
      <alignment horizontal="center"/>
      <protection/>
    </xf>
    <xf numFmtId="164" fontId="4" fillId="0" borderId="0" xfId="62" applyFont="1" applyFill="1" applyBorder="1" applyAlignment="1" quotePrefix="1">
      <alignment horizontal="center" vertical="center"/>
      <protection/>
    </xf>
    <xf numFmtId="11" fontId="4" fillId="0" borderId="15" xfId="0" applyNumberFormat="1" applyFont="1" applyFill="1" applyBorder="1" applyAlignment="1" applyProtection="1">
      <alignment vertical="center"/>
      <protection/>
    </xf>
    <xf numFmtId="11" fontId="6" fillId="0" borderId="28" xfId="0" applyNumberFormat="1" applyFont="1" applyFill="1" applyBorder="1" applyAlignment="1" applyProtection="1">
      <alignment vertical="center"/>
      <protection/>
    </xf>
    <xf numFmtId="164" fontId="13" fillId="0" borderId="0" xfId="62" applyFont="1" applyFill="1" applyBorder="1" applyAlignment="1" quotePrefix="1">
      <alignment horizontal="center"/>
      <protection/>
    </xf>
    <xf numFmtId="164" fontId="6" fillId="0" borderId="0" xfId="0" applyFont="1" applyFill="1" applyBorder="1" applyAlignment="1">
      <alignment vertical="center" wrapText="1"/>
    </xf>
    <xf numFmtId="165" fontId="18" fillId="0" borderId="26" xfId="0" applyNumberFormat="1" applyFont="1" applyFill="1" applyBorder="1" applyAlignment="1" applyProtection="1">
      <alignment vertical="center"/>
      <protection/>
    </xf>
    <xf numFmtId="165" fontId="18" fillId="20" borderId="12" xfId="0" applyNumberFormat="1" applyFont="1" applyFill="1" applyBorder="1" applyAlignment="1" applyProtection="1">
      <alignment vertical="center"/>
      <protection/>
    </xf>
    <xf numFmtId="165" fontId="18" fillId="20" borderId="14" xfId="0" applyNumberFormat="1" applyFont="1" applyFill="1" applyBorder="1" applyAlignment="1" applyProtection="1">
      <alignment vertical="center"/>
      <protection/>
    </xf>
    <xf numFmtId="165" fontId="18" fillId="20" borderId="13" xfId="0" applyNumberFormat="1" applyFont="1" applyFill="1" applyBorder="1" applyAlignment="1" applyProtection="1">
      <alignment vertical="center"/>
      <protection/>
    </xf>
    <xf numFmtId="164" fontId="18" fillId="0" borderId="0" xfId="60" applyFont="1" applyFill="1" applyBorder="1" applyAlignment="1">
      <alignment horizontal="right" vertical="center" indent="1"/>
      <protection/>
    </xf>
    <xf numFmtId="167" fontId="6" fillId="0" borderId="28" xfId="0" applyNumberFormat="1" applyFont="1" applyFill="1" applyBorder="1" applyAlignment="1" applyProtection="1">
      <alignment vertical="center"/>
      <protection/>
    </xf>
    <xf numFmtId="167" fontId="18" fillId="20" borderId="14" xfId="0" applyNumberFormat="1" applyFont="1" applyFill="1" applyBorder="1" applyAlignment="1" applyProtection="1">
      <alignment vertical="center"/>
      <protection/>
    </xf>
    <xf numFmtId="167" fontId="18" fillId="20" borderId="13" xfId="0" applyNumberFormat="1" applyFont="1" applyFill="1" applyBorder="1" applyAlignment="1" applyProtection="1">
      <alignment vertical="center"/>
      <protection/>
    </xf>
    <xf numFmtId="167" fontId="18" fillId="0" borderId="26" xfId="0" applyNumberFormat="1" applyFont="1" applyFill="1" applyBorder="1" applyAlignment="1" applyProtection="1">
      <alignment vertical="center"/>
      <protection/>
    </xf>
    <xf numFmtId="164" fontId="19" fillId="0" borderId="0" xfId="0" applyFont="1" applyFill="1" applyBorder="1" applyAlignment="1" quotePrefix="1">
      <alignment horizontal="right" vertical="center"/>
    </xf>
    <xf numFmtId="164" fontId="18" fillId="0" borderId="0" xfId="0" applyFont="1" applyFill="1" applyBorder="1" applyAlignment="1">
      <alignment horizontal="right" vertical="center"/>
    </xf>
    <xf numFmtId="164" fontId="13" fillId="0" borderId="0" xfId="59" applyFont="1" applyFill="1" applyBorder="1" applyAlignment="1">
      <alignment horizontal="right" vertical="center"/>
      <protection/>
    </xf>
    <xf numFmtId="164" fontId="51" fillId="0" borderId="0" xfId="0" applyFont="1" applyFill="1" applyBorder="1" applyAlignment="1" quotePrefix="1">
      <alignment horizontal="center" vertical="center" wrapText="1"/>
    </xf>
    <xf numFmtId="164" fontId="7" fillId="0" borderId="0" xfId="0" applyFont="1" applyFill="1" applyBorder="1" applyAlignment="1">
      <alignment vertical="center" wrapText="1"/>
    </xf>
    <xf numFmtId="164" fontId="6" fillId="0" borderId="0" xfId="0" applyFont="1" applyFill="1" applyBorder="1" applyAlignment="1" quotePrefix="1">
      <alignment horizontal="center" vertical="center" wrapText="1"/>
    </xf>
    <xf numFmtId="164" fontId="6" fillId="0" borderId="0" xfId="0" applyFont="1" applyFill="1" applyBorder="1" applyAlignment="1" quotePrefix="1">
      <alignment horizontal="right" vertical="center" wrapText="1"/>
    </xf>
    <xf numFmtId="165" fontId="54" fillId="20" borderId="12" xfId="0" applyNumberFormat="1" applyFont="1" applyFill="1" applyBorder="1" applyAlignment="1" applyProtection="1">
      <alignment vertical="center"/>
      <protection/>
    </xf>
    <xf numFmtId="165" fontId="54" fillId="20" borderId="15" xfId="0" applyNumberFormat="1" applyFont="1" applyFill="1" applyBorder="1" applyAlignment="1" applyProtection="1">
      <alignment vertical="center"/>
      <protection/>
    </xf>
    <xf numFmtId="165" fontId="54" fillId="20" borderId="19" xfId="0" applyNumberFormat="1" applyFont="1" applyFill="1" applyBorder="1" applyAlignment="1" applyProtection="1">
      <alignment vertical="center"/>
      <protection/>
    </xf>
    <xf numFmtId="165" fontId="54" fillId="20" borderId="23" xfId="0" applyNumberFormat="1" applyFont="1" applyFill="1" applyBorder="1" applyAlignment="1" applyProtection="1">
      <alignment vertical="center"/>
      <protection/>
    </xf>
    <xf numFmtId="164" fontId="57" fillId="0" borderId="0" xfId="0" applyFont="1" applyFill="1" applyBorder="1" applyAlignment="1" quotePrefix="1">
      <alignment horizontal="center"/>
    </xf>
    <xf numFmtId="164" fontId="57" fillId="0" borderId="0" xfId="0" applyFont="1" applyFill="1" applyBorder="1" applyAlignment="1">
      <alignment horizontal="center"/>
    </xf>
    <xf numFmtId="165" fontId="54" fillId="0" borderId="15" xfId="0" applyNumberFormat="1" applyFont="1" applyFill="1" applyBorder="1" applyAlignment="1" applyProtection="1">
      <alignment vertical="center"/>
      <protection/>
    </xf>
    <xf numFmtId="165" fontId="54" fillId="0" borderId="28" xfId="0" applyNumberFormat="1" applyFont="1" applyFill="1" applyBorder="1" applyAlignment="1" applyProtection="1">
      <alignment vertical="center"/>
      <protection/>
    </xf>
    <xf numFmtId="165" fontId="54" fillId="0" borderId="11" xfId="0" applyNumberFormat="1" applyFont="1" applyFill="1" applyBorder="1" applyAlignment="1">
      <alignment vertical="center"/>
    </xf>
    <xf numFmtId="165" fontId="54" fillId="0" borderId="30" xfId="0" applyNumberFormat="1" applyFont="1" applyFill="1" applyBorder="1" applyAlignment="1">
      <alignment vertical="center"/>
    </xf>
    <xf numFmtId="164" fontId="54" fillId="0" borderId="0" xfId="0" applyFont="1" applyFill="1" applyBorder="1" applyAlignment="1">
      <alignment horizontal="center"/>
    </xf>
    <xf numFmtId="165" fontId="54" fillId="20" borderId="14" xfId="0" applyNumberFormat="1" applyFont="1" applyFill="1" applyBorder="1" applyAlignment="1" applyProtection="1">
      <alignment vertical="center"/>
      <protection/>
    </xf>
    <xf numFmtId="165" fontId="54" fillId="20" borderId="13" xfId="0" applyNumberFormat="1" applyFont="1" applyFill="1" applyBorder="1" applyAlignment="1" applyProtection="1">
      <alignment vertical="center"/>
      <protection/>
    </xf>
    <xf numFmtId="165" fontId="54" fillId="0" borderId="16" xfId="0" applyNumberFormat="1" applyFont="1" applyFill="1" applyBorder="1" applyAlignment="1" applyProtection="1">
      <alignment vertical="center"/>
      <protection/>
    </xf>
    <xf numFmtId="165" fontId="54" fillId="0" borderId="17" xfId="0" applyNumberFormat="1" applyFont="1" applyFill="1" applyBorder="1" applyAlignment="1" applyProtection="1">
      <alignment vertical="center"/>
      <protection/>
    </xf>
    <xf numFmtId="165" fontId="54" fillId="0" borderId="20" xfId="0" applyNumberFormat="1" applyFont="1" applyFill="1" applyBorder="1" applyAlignment="1" applyProtection="1">
      <alignment vertical="center"/>
      <protection/>
    </xf>
    <xf numFmtId="165" fontId="54" fillId="0" borderId="21" xfId="0" applyNumberFormat="1" applyFont="1" applyFill="1" applyBorder="1" applyAlignment="1" applyProtection="1">
      <alignment vertical="center"/>
      <protection/>
    </xf>
    <xf numFmtId="165" fontId="54" fillId="0" borderId="18" xfId="0" applyNumberFormat="1" applyFont="1" applyFill="1" applyBorder="1" applyAlignment="1" applyProtection="1">
      <alignment vertical="center"/>
      <protection/>
    </xf>
    <xf numFmtId="165" fontId="54" fillId="0" borderId="24" xfId="0" applyNumberFormat="1" applyFont="1" applyFill="1" applyBorder="1" applyAlignment="1" applyProtection="1">
      <alignment vertical="center"/>
      <protection/>
    </xf>
    <xf numFmtId="165" fontId="54" fillId="0" borderId="25" xfId="0" applyNumberFormat="1" applyFont="1" applyFill="1" applyBorder="1" applyAlignment="1" applyProtection="1">
      <alignment vertical="center"/>
      <protection/>
    </xf>
    <xf numFmtId="165" fontId="54" fillId="0" borderId="26" xfId="0" applyNumberFormat="1" applyFont="1" applyFill="1" applyBorder="1" applyAlignment="1" applyProtection="1">
      <alignment vertical="center"/>
      <protection/>
    </xf>
    <xf numFmtId="164" fontId="59" fillId="0" borderId="0" xfId="62" applyFont="1" applyAlignment="1">
      <alignment horizontal="center"/>
      <protection/>
    </xf>
    <xf numFmtId="164" fontId="57" fillId="0" borderId="0" xfId="0" applyFont="1" applyFill="1" applyBorder="1" applyAlignment="1">
      <alignment horizontal="center" vertical="center"/>
    </xf>
    <xf numFmtId="164" fontId="13" fillId="0" borderId="0" xfId="61" applyFont="1" applyFill="1" applyBorder="1" applyAlignment="1">
      <alignment horizontal="right" vertical="center"/>
      <protection/>
    </xf>
    <xf numFmtId="165" fontId="4" fillId="0" borderId="39" xfId="0" applyNumberFormat="1" applyFont="1" applyFill="1" applyBorder="1" applyAlignment="1" applyProtection="1">
      <alignment vertical="center"/>
      <protection/>
    </xf>
    <xf numFmtId="165" fontId="4" fillId="0" borderId="40" xfId="0" applyNumberFormat="1" applyFont="1" applyFill="1" applyBorder="1" applyAlignment="1" applyProtection="1">
      <alignment vertical="center"/>
      <protection/>
    </xf>
    <xf numFmtId="165" fontId="54" fillId="20" borderId="41" xfId="0" applyNumberFormat="1" applyFont="1" applyFill="1" applyBorder="1" applyAlignment="1" applyProtection="1">
      <alignment vertical="center"/>
      <protection/>
    </xf>
    <xf numFmtId="165" fontId="54" fillId="20" borderId="42" xfId="0" applyNumberFormat="1" applyFont="1" applyFill="1" applyBorder="1" applyAlignment="1" applyProtection="1">
      <alignment vertical="center"/>
      <protection/>
    </xf>
    <xf numFmtId="164" fontId="11" fillId="0" borderId="0" xfId="0" applyFont="1" applyFill="1" applyBorder="1" applyAlignment="1">
      <alignment horizontal="left" indent="3"/>
    </xf>
    <xf numFmtId="164" fontId="6" fillId="0" borderId="0" xfId="59" applyFont="1" applyFill="1" applyBorder="1" applyAlignment="1">
      <alignment horizontal="right" vertical="center" indent="1"/>
      <protection/>
    </xf>
    <xf numFmtId="164" fontId="60" fillId="0" borderId="0" xfId="0" applyFont="1" applyFill="1" applyBorder="1" applyAlignment="1">
      <alignment horizontal="center" vertical="center"/>
    </xf>
    <xf numFmtId="164" fontId="6" fillId="0" borderId="0" xfId="60" applyFont="1" applyFill="1" applyBorder="1" applyAlignment="1" quotePrefix="1">
      <alignment horizontal="left" vertical="center"/>
      <protection/>
    </xf>
    <xf numFmtId="164" fontId="7" fillId="0" borderId="0" xfId="60" applyFont="1" applyFill="1" applyBorder="1" applyAlignment="1">
      <alignment horizontal="left" vertical="center"/>
      <protection/>
    </xf>
    <xf numFmtId="165" fontId="54" fillId="20" borderId="10" xfId="0" applyNumberFormat="1" applyFont="1" applyFill="1" applyBorder="1" applyAlignment="1">
      <alignment horizontal="right" vertical="center"/>
    </xf>
    <xf numFmtId="164" fontId="3" fillId="0" borderId="0" xfId="59" applyFont="1" applyAlignment="1" quotePrefix="1">
      <alignment horizontal="left" vertical="center"/>
      <protection/>
    </xf>
    <xf numFmtId="164" fontId="6" fillId="0" borderId="0" xfId="59" applyFont="1" applyFill="1" applyBorder="1" applyAlignment="1">
      <alignment horizontal="right" vertical="center"/>
      <protection/>
    </xf>
    <xf numFmtId="164" fontId="0" fillId="0" borderId="0" xfId="0" applyAlignment="1">
      <alignment horizontal="left" vertical="center" indent="1"/>
    </xf>
    <xf numFmtId="166" fontId="4" fillId="0" borderId="0" xfId="58" applyNumberFormat="1" applyFont="1" applyFill="1" applyBorder="1" applyAlignment="1">
      <alignment vertical="center"/>
      <protection/>
    </xf>
    <xf numFmtId="166" fontId="4" fillId="0" borderId="0" xfId="0" applyNumberFormat="1" applyFont="1" applyFill="1" applyBorder="1" applyAlignment="1">
      <alignment vertical="center"/>
    </xf>
    <xf numFmtId="165" fontId="3" fillId="22" borderId="14" xfId="0" applyNumberFormat="1" applyFont="1" applyFill="1" applyBorder="1" applyAlignment="1" applyProtection="1">
      <alignment vertical="center"/>
      <protection/>
    </xf>
    <xf numFmtId="165" fontId="3" fillId="22" borderId="32" xfId="0" applyNumberFormat="1" applyFont="1" applyFill="1" applyBorder="1" applyAlignment="1" applyProtection="1">
      <alignment vertical="center"/>
      <protection/>
    </xf>
    <xf numFmtId="165" fontId="3" fillId="22" borderId="20" xfId="0" applyNumberFormat="1" applyFont="1" applyFill="1" applyBorder="1" applyAlignment="1" applyProtection="1">
      <alignment vertical="center"/>
      <protection/>
    </xf>
    <xf numFmtId="165" fontId="3" fillId="22" borderId="24" xfId="0" applyNumberFormat="1" applyFont="1" applyFill="1" applyBorder="1" applyAlignment="1" applyProtection="1">
      <alignment vertical="center"/>
      <protection/>
    </xf>
    <xf numFmtId="164" fontId="51" fillId="0" borderId="0" xfId="0" applyFont="1" applyFill="1" applyBorder="1" applyAlignment="1" quotePrefix="1">
      <alignment horizontal="center" vertical="center"/>
    </xf>
    <xf numFmtId="164" fontId="6" fillId="0" borderId="0" xfId="0" applyFont="1" applyFill="1" applyBorder="1" applyAlignment="1" quotePrefix="1">
      <alignment horizontal="center" vertical="center"/>
    </xf>
    <xf numFmtId="164" fontId="6" fillId="0" borderId="0" xfId="60" applyFont="1" applyFill="1" applyBorder="1" applyAlignment="1">
      <alignment horizontal="center" vertical="center"/>
      <protection/>
    </xf>
    <xf numFmtId="166" fontId="4" fillId="27" borderId="22" xfId="0" applyNumberFormat="1" applyFont="1" applyFill="1" applyBorder="1" applyAlignment="1" applyProtection="1">
      <alignment vertical="center"/>
      <protection/>
    </xf>
    <xf numFmtId="165" fontId="54" fillId="20" borderId="43" xfId="0" applyNumberFormat="1" applyFont="1" applyFill="1" applyBorder="1" applyAlignment="1" applyProtection="1">
      <alignment vertical="center"/>
      <protection/>
    </xf>
    <xf numFmtId="164" fontId="6" fillId="0" borderId="0" xfId="59" applyFont="1" applyFill="1" applyBorder="1" applyAlignment="1">
      <alignment horizontal="right" vertical="center" indent="2"/>
      <protection/>
    </xf>
    <xf numFmtId="165" fontId="18" fillId="30" borderId="44" xfId="0" applyNumberFormat="1" applyFont="1" applyFill="1" applyBorder="1" applyAlignment="1" applyProtection="1">
      <alignment vertical="center"/>
      <protection/>
    </xf>
    <xf numFmtId="165" fontId="18" fillId="30" borderId="45" xfId="0" applyNumberFormat="1" applyFont="1" applyFill="1" applyBorder="1" applyAlignment="1" applyProtection="1">
      <alignment vertical="center"/>
      <protection/>
    </xf>
    <xf numFmtId="165" fontId="18" fillId="30" borderId="13" xfId="0" applyNumberFormat="1" applyFont="1" applyFill="1" applyBorder="1" applyAlignment="1" applyProtection="1">
      <alignment vertical="center"/>
      <protection/>
    </xf>
    <xf numFmtId="165" fontId="4" fillId="31" borderId="10" xfId="0" applyNumberFormat="1" applyFont="1" applyFill="1" applyBorder="1" applyAlignment="1" applyProtection="1">
      <alignment vertical="center"/>
      <protection/>
    </xf>
    <xf numFmtId="165" fontId="54" fillId="11" borderId="28" xfId="0" applyNumberFormat="1" applyFont="1" applyFill="1" applyBorder="1" applyAlignment="1" applyProtection="1">
      <alignment vertical="center"/>
      <protection/>
    </xf>
    <xf numFmtId="165" fontId="54" fillId="11" borderId="12" xfId="0" applyNumberFormat="1" applyFont="1" applyFill="1" applyBorder="1" applyAlignment="1" applyProtection="1">
      <alignment vertical="center"/>
      <protection/>
    </xf>
    <xf numFmtId="165" fontId="54" fillId="11" borderId="15" xfId="0" applyNumberFormat="1" applyFont="1" applyFill="1" applyBorder="1" applyAlignment="1" applyProtection="1">
      <alignment vertical="center"/>
      <protection/>
    </xf>
    <xf numFmtId="164" fontId="6" fillId="0" borderId="0" xfId="59" applyFont="1" applyFill="1" applyBorder="1" applyAlignment="1">
      <alignment horizontal="center" vertical="center"/>
      <protection/>
    </xf>
    <xf numFmtId="164" fontId="7" fillId="0" borderId="0" xfId="58" applyFont="1" applyFill="1" applyBorder="1" applyAlignment="1">
      <alignment horizontal="left" vertical="center" indent="1"/>
      <protection/>
    </xf>
    <xf numFmtId="164" fontId="42" fillId="0" borderId="0" xfId="58" applyAlignment="1">
      <alignment vertical="distributed"/>
      <protection/>
    </xf>
    <xf numFmtId="166" fontId="4" fillId="0" borderId="31" xfId="0" applyNumberFormat="1" applyFont="1" applyFill="1" applyBorder="1" applyAlignment="1" applyProtection="1">
      <alignment vertical="center"/>
      <protection/>
    </xf>
    <xf numFmtId="165" fontId="18" fillId="0" borderId="11" xfId="0" applyNumberFormat="1" applyFont="1" applyFill="1" applyBorder="1" applyAlignment="1">
      <alignment vertical="center"/>
    </xf>
    <xf numFmtId="166" fontId="4" fillId="32" borderId="22" xfId="0" applyNumberFormat="1" applyFont="1" applyFill="1" applyBorder="1" applyAlignment="1" applyProtection="1">
      <alignment vertical="center"/>
      <protection/>
    </xf>
    <xf numFmtId="165" fontId="4" fillId="19" borderId="28" xfId="0" applyNumberFormat="1" applyFont="1" applyFill="1" applyBorder="1" applyAlignment="1" applyProtection="1">
      <alignment vertical="center"/>
      <protection/>
    </xf>
    <xf numFmtId="165" fontId="6" fillId="0" borderId="10" xfId="0" applyNumberFormat="1" applyFont="1" applyFill="1" applyBorder="1" applyAlignment="1">
      <alignment vertical="center"/>
    </xf>
    <xf numFmtId="165" fontId="3" fillId="31" borderId="12" xfId="0" applyNumberFormat="1" applyFont="1" applyFill="1" applyBorder="1" applyAlignment="1" applyProtection="1">
      <alignment vertical="center"/>
      <protection/>
    </xf>
    <xf numFmtId="166" fontId="5" fillId="20" borderId="10" xfId="0" applyNumberFormat="1" applyFont="1" applyFill="1" applyBorder="1" applyAlignment="1" applyProtection="1">
      <alignment vertical="center"/>
      <protection/>
    </xf>
    <xf numFmtId="164" fontId="9" fillId="0" borderId="0" xfId="0" applyFont="1" applyFill="1" applyBorder="1" applyAlignment="1" quotePrefix="1">
      <alignment horizontal="center"/>
    </xf>
    <xf numFmtId="164" fontId="11" fillId="0" borderId="0" xfId="0" applyFont="1" applyFill="1" applyBorder="1" applyAlignment="1">
      <alignment horizontal="right"/>
    </xf>
    <xf numFmtId="164" fontId="6" fillId="0" borderId="0" xfId="60" applyFont="1" applyFill="1" applyBorder="1" applyAlignment="1" quotePrefix="1">
      <alignment horizontal="right" vertical="center"/>
      <protection/>
    </xf>
    <xf numFmtId="164" fontId="13" fillId="0" borderId="0" xfId="63" applyFont="1" applyFill="1" applyBorder="1" applyAlignment="1">
      <alignment horizontal="right" vertical="center" indent="1"/>
      <protection/>
    </xf>
    <xf numFmtId="164" fontId="13" fillId="0" borderId="0" xfId="63" applyFont="1" applyFill="1" applyBorder="1" applyAlignment="1">
      <alignment horizontal="right"/>
      <protection/>
    </xf>
    <xf numFmtId="164" fontId="6" fillId="0" borderId="0" xfId="60" applyFont="1" applyFill="1" applyBorder="1" applyAlignment="1">
      <alignment horizontal="right" vertical="center"/>
      <protection/>
    </xf>
    <xf numFmtId="165" fontId="4" fillId="8" borderId="38" xfId="58" applyNumberFormat="1" applyFont="1" applyFill="1" applyBorder="1" applyAlignment="1">
      <alignment vertical="center"/>
      <protection/>
    </xf>
    <xf numFmtId="164" fontId="7" fillId="0" borderId="0" xfId="58" applyFont="1" applyAlignment="1" quotePrefix="1">
      <alignment horizontal="left" vertical="center"/>
      <protection/>
    </xf>
    <xf numFmtId="164" fontId="61" fillId="0" borderId="0" xfId="59" applyFont="1" applyFill="1" applyBorder="1" applyAlignment="1" quotePrefix="1">
      <alignment vertical="center"/>
      <protection/>
    </xf>
    <xf numFmtId="164" fontId="9" fillId="0" borderId="0" xfId="58" applyFont="1" applyFill="1" applyBorder="1" applyAlignment="1">
      <alignment horizontal="center"/>
      <protection/>
    </xf>
    <xf numFmtId="164" fontId="50" fillId="0" borderId="0" xfId="58" applyFont="1" applyFill="1" applyBorder="1" applyAlignment="1">
      <alignment horizontal="center" vertical="center"/>
      <protection/>
    </xf>
    <xf numFmtId="164" fontId="62" fillId="0" borderId="0" xfId="0" applyFont="1" applyAlignment="1">
      <alignment vertical="center"/>
    </xf>
    <xf numFmtId="164" fontId="64" fillId="0" borderId="0" xfId="62" applyFont="1" applyAlignment="1">
      <alignment horizontal="left"/>
      <protection/>
    </xf>
    <xf numFmtId="164" fontId="50" fillId="0" borderId="0" xfId="62" applyFont="1" applyFill="1" applyBorder="1" applyAlignment="1" quotePrefix="1">
      <alignment horizontal="center" vertical="center"/>
      <protection/>
    </xf>
    <xf numFmtId="164" fontId="65" fillId="0" borderId="0" xfId="62" applyFont="1" applyAlignment="1">
      <alignment horizontal="right"/>
      <protection/>
    </xf>
    <xf numFmtId="164" fontId="66" fillId="0" borderId="0" xfId="62" applyFont="1" applyFill="1" applyBorder="1" applyAlignment="1" quotePrefix="1">
      <alignment horizontal="left" vertical="center"/>
      <protection/>
    </xf>
    <xf numFmtId="164" fontId="49" fillId="0" borderId="0" xfId="62" applyFont="1" applyFill="1" applyBorder="1" applyAlignment="1">
      <alignment horizontal="right"/>
      <protection/>
    </xf>
    <xf numFmtId="166" fontId="6" fillId="20" borderId="23" xfId="0" applyNumberFormat="1" applyFont="1" applyFill="1" applyBorder="1" applyAlignment="1" applyProtection="1">
      <alignment vertical="center"/>
      <protection/>
    </xf>
    <xf numFmtId="166" fontId="6" fillId="0" borderId="10" xfId="0" applyNumberFormat="1" applyFont="1" applyFill="1" applyBorder="1" applyAlignment="1">
      <alignment vertical="center"/>
    </xf>
    <xf numFmtId="164" fontId="13" fillId="0" borderId="0" xfId="0" applyFont="1" applyFill="1" applyBorder="1" applyAlignment="1">
      <alignment horizontal="right" vertical="center"/>
    </xf>
    <xf numFmtId="166" fontId="68" fillId="0" borderId="0" xfId="0" applyNumberFormat="1" applyFont="1" applyFill="1" applyBorder="1" applyAlignment="1" applyProtection="1">
      <alignment vertical="center"/>
      <protection/>
    </xf>
    <xf numFmtId="165" fontId="68" fillId="0" borderId="0" xfId="0" applyNumberFormat="1" applyFont="1" applyFill="1" applyBorder="1" applyAlignment="1" applyProtection="1">
      <alignment horizontal="left" vertical="center"/>
      <protection/>
    </xf>
    <xf numFmtId="167" fontId="68" fillId="0" borderId="0" xfId="0" applyNumberFormat="1" applyFont="1" applyFill="1" applyBorder="1" applyAlignment="1" applyProtection="1">
      <alignment vertical="center"/>
      <protection/>
    </xf>
    <xf numFmtId="165" fontId="68" fillId="0" borderId="0" xfId="0" applyNumberFormat="1" applyFont="1" applyFill="1" applyBorder="1" applyAlignment="1" applyProtection="1">
      <alignment horizontal="right" vertical="center"/>
      <protection/>
    </xf>
    <xf numFmtId="164" fontId="44" fillId="0" borderId="0" xfId="0" applyFont="1" applyFill="1" applyBorder="1" applyAlignment="1">
      <alignment horizontal="center" vertical="center" wrapText="1"/>
    </xf>
    <xf numFmtId="165" fontId="68" fillId="0" borderId="0" xfId="0" applyNumberFormat="1" applyFont="1" applyFill="1" applyBorder="1" applyAlignment="1" applyProtection="1">
      <alignment vertical="center"/>
      <protection/>
    </xf>
    <xf numFmtId="165" fontId="68" fillId="0" borderId="0" xfId="0" applyNumberFormat="1" applyFont="1" applyFill="1" applyBorder="1" applyAlignment="1">
      <alignment vertical="center"/>
    </xf>
    <xf numFmtId="166" fontId="18" fillId="20" borderId="14" xfId="0" applyNumberFormat="1" applyFont="1" applyFill="1" applyBorder="1" applyAlignment="1" applyProtection="1">
      <alignment vertical="center"/>
      <protection/>
    </xf>
    <xf numFmtId="166" fontId="18" fillId="20" borderId="13" xfId="0" applyNumberFormat="1" applyFont="1" applyFill="1" applyBorder="1" applyAlignment="1" applyProtection="1">
      <alignment vertical="center"/>
      <protection/>
    </xf>
    <xf numFmtId="166" fontId="18" fillId="0" borderId="26" xfId="0" applyNumberFormat="1" applyFont="1" applyFill="1" applyBorder="1" applyAlignment="1" applyProtection="1">
      <alignment vertical="center"/>
      <protection/>
    </xf>
    <xf numFmtId="165" fontId="6" fillId="33" borderId="12" xfId="0" applyNumberFormat="1" applyFont="1" applyFill="1" applyBorder="1" applyAlignment="1" applyProtection="1">
      <alignment vertical="center"/>
      <protection/>
    </xf>
    <xf numFmtId="165" fontId="13" fillId="22" borderId="12" xfId="0" applyNumberFormat="1" applyFont="1" applyFill="1" applyBorder="1" applyAlignment="1" applyProtection="1">
      <alignment vertical="center"/>
      <protection/>
    </xf>
    <xf numFmtId="165" fontId="13" fillId="34" borderId="15" xfId="0" applyNumberFormat="1" applyFont="1" applyFill="1" applyBorder="1" applyAlignment="1" applyProtection="1">
      <alignment vertical="center"/>
      <protection/>
    </xf>
    <xf numFmtId="165" fontId="13" fillId="34" borderId="19" xfId="0" applyNumberFormat="1" applyFont="1" applyFill="1" applyBorder="1" applyAlignment="1" applyProtection="1">
      <alignment vertical="center"/>
      <protection/>
    </xf>
    <xf numFmtId="165" fontId="13" fillId="34" borderId="23" xfId="0" applyNumberFormat="1" applyFont="1" applyFill="1" applyBorder="1" applyAlignment="1" applyProtection="1">
      <alignment vertical="center"/>
      <protection/>
    </xf>
    <xf numFmtId="165" fontId="6" fillId="27" borderId="10" xfId="0" applyNumberFormat="1" applyFont="1" applyFill="1" applyBorder="1" applyAlignment="1" applyProtection="1">
      <alignment vertical="center"/>
      <protection/>
    </xf>
    <xf numFmtId="165" fontId="6" fillId="20" borderId="10" xfId="0" applyNumberFormat="1" applyFont="1" applyFill="1" applyBorder="1" applyAlignment="1">
      <alignment vertical="center"/>
    </xf>
    <xf numFmtId="165" fontId="6" fillId="11" borderId="12" xfId="0" applyNumberFormat="1" applyFont="1" applyFill="1" applyBorder="1" applyAlignment="1" applyProtection="1">
      <alignment vertical="center"/>
      <protection/>
    </xf>
    <xf numFmtId="164" fontId="70" fillId="0" borderId="0" xfId="0" applyFont="1" applyFill="1" applyBorder="1" applyAlignment="1">
      <alignment horizontal="center"/>
    </xf>
    <xf numFmtId="165" fontId="6" fillId="29" borderId="10" xfId="0" applyNumberFormat="1" applyFont="1" applyFill="1" applyBorder="1" applyAlignment="1">
      <alignment vertical="center"/>
    </xf>
    <xf numFmtId="165" fontId="3" fillId="29" borderId="15" xfId="0" applyNumberFormat="1" applyFont="1" applyFill="1" applyBorder="1" applyAlignment="1" applyProtection="1">
      <alignment vertical="center"/>
      <protection/>
    </xf>
    <xf numFmtId="165" fontId="3" fillId="29" borderId="46" xfId="0" applyNumberFormat="1" applyFont="1" applyFill="1" applyBorder="1" applyAlignment="1" applyProtection="1">
      <alignment vertical="center"/>
      <protection/>
    </xf>
    <xf numFmtId="165" fontId="3" fillId="29" borderId="28" xfId="0" applyNumberFormat="1" applyFont="1" applyFill="1" applyBorder="1" applyAlignment="1" applyProtection="1">
      <alignment vertical="center"/>
      <protection/>
    </xf>
    <xf numFmtId="164" fontId="69" fillId="0" borderId="0" xfId="0" applyFont="1" applyFill="1" applyBorder="1" applyAlignment="1" quotePrefix="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T" xfId="57"/>
    <cellStyle name="Normal_1 DT_1" xfId="58"/>
    <cellStyle name="Normal_1 DT_1 DT" xfId="59"/>
    <cellStyle name="Normal_1 DT_1 DT_1 DT" xfId="60"/>
    <cellStyle name="Normal_1 DT_1 DT_2" xfId="61"/>
    <cellStyle name="Normal_1 DT_2" xfId="62"/>
    <cellStyle name="Normal_1 DT_3" xfId="63"/>
    <cellStyle name="Normal_X3X3"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3E3E3"/>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1825"/>
          <c:w val="0.83175"/>
          <c:h val="0.95075"/>
        </c:manualLayout>
      </c:layout>
      <c:lineChart>
        <c:grouping val="standard"/>
        <c:varyColors val="0"/>
        <c:ser>
          <c:idx val="0"/>
          <c:order val="0"/>
          <c:tx>
            <c:strRef>
              <c:f>Series!$L$7</c:f>
              <c:strCache>
                <c:ptCount val="1"/>
                <c:pt idx="0">
                  <c:v>VMPL</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Series!$L$8:$L$38</c:f>
              <c:numCache>
                <c:ptCount val="31"/>
                <c:pt idx="0">
                  <c:v>115.63709423756956</c:v>
                </c:pt>
                <c:pt idx="1">
                  <c:v>113.50634462885601</c:v>
                </c:pt>
                <c:pt idx="2">
                  <c:v>111.57345557998386</c:v>
                </c:pt>
                <c:pt idx="3">
                  <c:v>109.56843997523207</c:v>
                </c:pt>
                <c:pt idx="4">
                  <c:v>108.55350029159312</c:v>
                </c:pt>
                <c:pt idx="5">
                  <c:v>108.30401525200844</c:v>
                </c:pt>
                <c:pt idx="6">
                  <c:v>108.34826778786724</c:v>
                </c:pt>
                <c:pt idx="7">
                  <c:v>108.46200973268655</c:v>
                </c:pt>
                <c:pt idx="8">
                  <c:v>108.58363982947033</c:v>
                </c:pt>
                <c:pt idx="9">
                  <c:v>108.70129849313027</c:v>
                </c:pt>
                <c:pt idx="10">
                  <c:v>108.81108829647114</c:v>
                </c:pt>
                <c:pt idx="11">
                  <c:v>108.91034525644757</c:v>
                </c:pt>
                <c:pt idx="12">
                  <c:v>108.99792575967699</c:v>
                </c:pt>
                <c:pt idx="13">
                  <c:v>109.07405888546988</c:v>
                </c:pt>
                <c:pt idx="14">
                  <c:v>109.13973609105018</c:v>
                </c:pt>
                <c:pt idx="15">
                  <c:v>109.1962336568695</c:v>
                </c:pt>
                <c:pt idx="16">
                  <c:v>109.2448634395681</c:v>
                </c:pt>
                <c:pt idx="17">
                  <c:v>109.2868586336469</c:v>
                </c:pt>
                <c:pt idx="18">
                  <c:v>109.3233213824005</c:v>
                </c:pt>
                <c:pt idx="19">
                  <c:v>109.3552015832455</c:v>
                </c:pt>
                <c:pt idx="20">
                  <c:v>109.38329498182362</c:v>
                </c:pt>
                <c:pt idx="21">
                  <c:v>109.40825344049661</c:v>
                </c:pt>
                <c:pt idx="22">
                  <c:v>109.43060180316583</c:v>
                </c:pt>
                <c:pt idx="23">
                  <c:v>109.45075726930203</c:v>
                </c:pt>
                <c:pt idx="24">
                  <c:v>109.46904865778069</c:v>
                </c:pt>
                <c:pt idx="25">
                  <c:v>109.48573408256802</c:v>
                </c:pt>
                <c:pt idx="26">
                  <c:v>109.50101633322052</c:v>
                </c:pt>
                <c:pt idx="27">
                  <c:v>109.51505573921719</c:v>
                </c:pt>
                <c:pt idx="28">
                  <c:v>109.5279805884924</c:v>
                </c:pt>
                <c:pt idx="29">
                  <c:v>109.53989533165415</c:v>
                </c:pt>
                <c:pt idx="30">
                  <c:v>109.54760677084064</c:v>
                </c:pt>
              </c:numCache>
            </c:numRef>
          </c:val>
          <c:smooth val="1"/>
        </c:ser>
        <c:ser>
          <c:idx val="1"/>
          <c:order val="1"/>
          <c:tx>
            <c:strRef>
              <c:f>Series!$K$7</c:f>
              <c:strCache>
                <c:ptCount val="1"/>
                <c:pt idx="0">
                  <c:v>VMP1</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Series!$K$8:$K$38</c:f>
              <c:numCache>
                <c:ptCount val="31"/>
                <c:pt idx="0">
                  <c:v>115.6370942375712</c:v>
                </c:pt>
                <c:pt idx="1">
                  <c:v>109.22431411817442</c:v>
                </c:pt>
                <c:pt idx="2">
                  <c:v>109.96040467427984</c:v>
                </c:pt>
                <c:pt idx="3">
                  <c:v>110.20765605379668</c:v>
                </c:pt>
                <c:pt idx="4">
                  <c:v>109.79174118041217</c:v>
                </c:pt>
                <c:pt idx="5">
                  <c:v>109.3384171044786</c:v>
                </c:pt>
                <c:pt idx="6">
                  <c:v>109.03890804516755</c:v>
                </c:pt>
                <c:pt idx="7">
                  <c:v>108.88479141728178</c:v>
                </c:pt>
                <c:pt idx="8">
                  <c:v>108.82717226487384</c:v>
                </c:pt>
                <c:pt idx="9">
                  <c:v>108.82747975339252</c:v>
                </c:pt>
                <c:pt idx="10">
                  <c:v>108.86132074131359</c:v>
                </c:pt>
                <c:pt idx="11">
                  <c:v>108.91337748306697</c:v>
                </c:pt>
                <c:pt idx="12">
                  <c:v>108.97381270029787</c:v>
                </c:pt>
                <c:pt idx="13">
                  <c:v>109.03638781824726</c:v>
                </c:pt>
                <c:pt idx="14">
                  <c:v>109.0973246373824</c:v>
                </c:pt>
                <c:pt idx="15">
                  <c:v>109.15450234817537</c:v>
                </c:pt>
                <c:pt idx="16">
                  <c:v>109.20688382606329</c:v>
                </c:pt>
                <c:pt idx="17">
                  <c:v>109.25411974620614</c:v>
                </c:pt>
                <c:pt idx="18">
                  <c:v>109.29628137022917</c:v>
                </c:pt>
                <c:pt idx="19">
                  <c:v>109.33368155065561</c:v>
                </c:pt>
                <c:pt idx="20">
                  <c:v>109.36675590721427</c:v>
                </c:pt>
                <c:pt idx="21">
                  <c:v>109.39598565809919</c:v>
                </c:pt>
                <c:pt idx="22">
                  <c:v>109.42184948891858</c:v>
                </c:pt>
                <c:pt idx="23">
                  <c:v>109.44479549541333</c:v>
                </c:pt>
                <c:pt idx="24">
                  <c:v>109.46522672249962</c:v>
                </c:pt>
                <c:pt idx="25">
                  <c:v>109.4834956366111</c:v>
                </c:pt>
                <c:pt idx="26">
                  <c:v>109.49990421648256</c:v>
                </c:pt>
                <c:pt idx="27">
                  <c:v>109.51470734496031</c:v>
                </c:pt>
                <c:pt idx="28">
                  <c:v>109.52811791634048</c:v>
                </c:pt>
                <c:pt idx="29">
                  <c:v>109.54031260671418</c:v>
                </c:pt>
                <c:pt idx="30">
                  <c:v>109.54812908587205</c:v>
                </c:pt>
              </c:numCache>
            </c:numRef>
          </c:val>
          <c:smooth val="1"/>
        </c:ser>
        <c:ser>
          <c:idx val="2"/>
          <c:order val="2"/>
          <c:tx>
            <c:strRef>
              <c:f>Series!$J$7</c:f>
              <c:strCache>
                <c:ptCount val="1"/>
                <c:pt idx="0">
                  <c:v>MC2</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Series!$J$8:$J$38</c:f>
              <c:numCache>
                <c:ptCount val="31"/>
                <c:pt idx="0">
                  <c:v>113.92817166263012</c:v>
                </c:pt>
                <c:pt idx="1">
                  <c:v>108.77733415767902</c:v>
                </c:pt>
                <c:pt idx="2">
                  <c:v>109.9868617318833</c:v>
                </c:pt>
                <c:pt idx="3">
                  <c:v>110.23350751617038</c:v>
                </c:pt>
                <c:pt idx="4">
                  <c:v>109.77938751599102</c:v>
                </c:pt>
                <c:pt idx="5">
                  <c:v>109.29654864985895</c:v>
                </c:pt>
                <c:pt idx="6">
                  <c:v>108.97919719997624</c:v>
                </c:pt>
                <c:pt idx="7">
                  <c:v>108.81416234088348</c:v>
                </c:pt>
                <c:pt idx="8">
                  <c:v>108.75015543080366</c:v>
                </c:pt>
                <c:pt idx="9">
                  <c:v>108.74778754218353</c:v>
                </c:pt>
                <c:pt idx="10">
                  <c:v>108.78199119867138</c:v>
                </c:pt>
                <c:pt idx="11">
                  <c:v>108.8366406267943</c:v>
                </c:pt>
                <c:pt idx="12">
                  <c:v>108.90111787185519</c:v>
                </c:pt>
                <c:pt idx="13">
                  <c:v>108.96855316633652</c:v>
                </c:pt>
                <c:pt idx="14">
                  <c:v>109.03470711176818</c:v>
                </c:pt>
                <c:pt idx="15">
                  <c:v>109.0971416534188</c:v>
                </c:pt>
                <c:pt idx="16">
                  <c:v>109.15461271932669</c:v>
                </c:pt>
                <c:pt idx="17">
                  <c:v>109.20664543490405</c:v>
                </c:pt>
                <c:pt idx="18">
                  <c:v>109.25324403075456</c:v>
                </c:pt>
                <c:pt idx="19">
                  <c:v>109.2946950325514</c:v>
                </c:pt>
                <c:pt idx="20">
                  <c:v>109.33143479945635</c:v>
                </c:pt>
                <c:pt idx="21">
                  <c:v>109.36396218577548</c:v>
                </c:pt>
                <c:pt idx="22">
                  <c:v>109.39278306379573</c:v>
                </c:pt>
                <c:pt idx="23">
                  <c:v>109.41837714824409</c:v>
                </c:pt>
                <c:pt idx="24">
                  <c:v>109.44118012167898</c:v>
                </c:pt>
                <c:pt idx="25">
                  <c:v>109.46157595959843</c:v>
                </c:pt>
                <c:pt idx="26">
                  <c:v>109.47989578651253</c:v>
                </c:pt>
                <c:pt idx="27">
                  <c:v>109.49642066772063</c:v>
                </c:pt>
                <c:pt idx="28">
                  <c:v>109.51138653937366</c:v>
                </c:pt>
                <c:pt idx="29">
                  <c:v>109.52499006722469</c:v>
                </c:pt>
                <c:pt idx="30">
                  <c:v>109.53370618970456</c:v>
                </c:pt>
              </c:numCache>
            </c:numRef>
          </c:val>
          <c:smooth val="1"/>
        </c:ser>
        <c:ser>
          <c:idx val="3"/>
          <c:order val="3"/>
          <c:tx>
            <c:strRef>
              <c:f>Series!$I$7</c:f>
              <c:strCache>
                <c:ptCount val="1"/>
                <c:pt idx="0">
                  <c:v>P2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Series!$I$8:$I$38</c:f>
              <c:numCache>
                <c:ptCount val="31"/>
                <c:pt idx="0">
                  <c:v>115.33727280138586</c:v>
                </c:pt>
                <c:pt idx="1">
                  <c:v>109.07965064856153</c:v>
                </c:pt>
                <c:pt idx="2">
                  <c:v>110.03247712615236</c:v>
                </c:pt>
                <c:pt idx="3">
                  <c:v>110.27298221063322</c:v>
                </c:pt>
                <c:pt idx="4">
                  <c:v>109.83149633129436</c:v>
                </c:pt>
                <c:pt idx="5">
                  <c:v>109.35977946472173</c:v>
                </c:pt>
                <c:pt idx="6">
                  <c:v>109.04918876766435</c:v>
                </c:pt>
                <c:pt idx="7">
                  <c:v>108.88780701336606</c:v>
                </c:pt>
                <c:pt idx="8">
                  <c:v>108.82519598487953</c:v>
                </c:pt>
                <c:pt idx="9">
                  <c:v>108.8223406536712</c:v>
                </c:pt>
                <c:pt idx="10">
                  <c:v>108.85452101042094</c:v>
                </c:pt>
                <c:pt idx="11">
                  <c:v>108.90601916694908</c:v>
                </c:pt>
                <c:pt idx="12">
                  <c:v>108.96661356210639</c:v>
                </c:pt>
                <c:pt idx="13">
                  <c:v>109.02976373926737</c:v>
                </c:pt>
                <c:pt idx="14">
                  <c:v>109.09147965847747</c:v>
                </c:pt>
                <c:pt idx="15">
                  <c:v>109.14950136409327</c:v>
                </c:pt>
                <c:pt idx="16">
                  <c:v>109.20270549934781</c:v>
                </c:pt>
                <c:pt idx="17">
                  <c:v>109.25069360394933</c:v>
                </c:pt>
                <c:pt idx="18">
                  <c:v>109.29351312657032</c:v>
                </c:pt>
                <c:pt idx="19">
                  <c:v>109.33146974939851</c:v>
                </c:pt>
                <c:pt idx="20">
                  <c:v>109.365002246444</c:v>
                </c:pt>
                <c:pt idx="21">
                  <c:v>109.39460083321346</c:v>
                </c:pt>
                <c:pt idx="22">
                  <c:v>109.42075596640929</c:v>
                </c:pt>
                <c:pt idx="23">
                  <c:v>109.44392827573907</c:v>
                </c:pt>
                <c:pt idx="24">
                  <c:v>109.46453286306007</c:v>
                </c:pt>
                <c:pt idx="25">
                  <c:v>109.48293308017548</c:v>
                </c:pt>
                <c:pt idx="26">
                  <c:v>109.49944029779395</c:v>
                </c:pt>
                <c:pt idx="27">
                  <c:v>109.51431721904991</c:v>
                </c:pt>
                <c:pt idx="28">
                  <c:v>109.52778305791169</c:v>
                </c:pt>
                <c:pt idx="29">
                  <c:v>109.54001946330914</c:v>
                </c:pt>
                <c:pt idx="30">
                  <c:v>109.5478589536273</c:v>
                </c:pt>
              </c:numCache>
            </c:numRef>
          </c:val>
          <c:smooth val="1"/>
        </c:ser>
        <c:ser>
          <c:idx val="4"/>
          <c:order val="4"/>
          <c:tx>
            <c:strRef>
              <c:f>Series!$M$7</c:f>
              <c:strCache>
                <c:ptCount val="1"/>
                <c:pt idx="0">
                  <c:v>P*</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Series!$M$8:$M$38</c:f>
              <c:numCache>
                <c:ptCount val="31"/>
                <c:pt idx="0">
                  <c:v>107.72128060263655</c:v>
                </c:pt>
                <c:pt idx="1">
                  <c:v>107.72128060263655</c:v>
                </c:pt>
                <c:pt idx="2">
                  <c:v>107.72128060263655</c:v>
                </c:pt>
                <c:pt idx="3">
                  <c:v>107.72128060263655</c:v>
                </c:pt>
                <c:pt idx="4">
                  <c:v>107.72128060263655</c:v>
                </c:pt>
                <c:pt idx="5">
                  <c:v>107.72128060263655</c:v>
                </c:pt>
                <c:pt idx="6">
                  <c:v>107.72128060263655</c:v>
                </c:pt>
                <c:pt idx="7">
                  <c:v>107.72128060263655</c:v>
                </c:pt>
                <c:pt idx="8">
                  <c:v>107.72128060263655</c:v>
                </c:pt>
                <c:pt idx="9">
                  <c:v>107.72128060263655</c:v>
                </c:pt>
                <c:pt idx="10">
                  <c:v>107.72128060263655</c:v>
                </c:pt>
                <c:pt idx="11">
                  <c:v>107.72128060263655</c:v>
                </c:pt>
                <c:pt idx="12">
                  <c:v>107.72128060263655</c:v>
                </c:pt>
                <c:pt idx="13">
                  <c:v>107.72128060263655</c:v>
                </c:pt>
                <c:pt idx="14">
                  <c:v>107.72128060263655</c:v>
                </c:pt>
                <c:pt idx="15">
                  <c:v>107.72128060263655</c:v>
                </c:pt>
                <c:pt idx="16">
                  <c:v>107.72128060263655</c:v>
                </c:pt>
                <c:pt idx="17">
                  <c:v>107.72128060263655</c:v>
                </c:pt>
                <c:pt idx="18">
                  <c:v>107.72128060263655</c:v>
                </c:pt>
                <c:pt idx="19">
                  <c:v>107.72128060263655</c:v>
                </c:pt>
                <c:pt idx="20">
                  <c:v>107.72128060263655</c:v>
                </c:pt>
                <c:pt idx="21">
                  <c:v>107.72128060263655</c:v>
                </c:pt>
                <c:pt idx="22">
                  <c:v>107.72128060263655</c:v>
                </c:pt>
                <c:pt idx="23">
                  <c:v>107.72128060263655</c:v>
                </c:pt>
                <c:pt idx="24">
                  <c:v>107.72128060263655</c:v>
                </c:pt>
                <c:pt idx="25">
                  <c:v>107.72128060263655</c:v>
                </c:pt>
                <c:pt idx="26">
                  <c:v>107.72128060263655</c:v>
                </c:pt>
                <c:pt idx="27">
                  <c:v>107.72128060263655</c:v>
                </c:pt>
                <c:pt idx="28">
                  <c:v>107.72128060263655</c:v>
                </c:pt>
                <c:pt idx="29">
                  <c:v>107.72128060263655</c:v>
                </c:pt>
                <c:pt idx="30">
                  <c:v>107.72128060263655</c:v>
                </c:pt>
              </c:numCache>
            </c:numRef>
          </c:val>
          <c:smooth val="1"/>
        </c:ser>
        <c:marker val="1"/>
        <c:axId val="21439203"/>
        <c:axId val="58735100"/>
      </c:lineChart>
      <c:catAx>
        <c:axId val="21439203"/>
        <c:scaling>
          <c:orientation val="minMax"/>
        </c:scaling>
        <c:axPos val="b"/>
        <c:title>
          <c:tx>
            <c:rich>
              <a:bodyPr vert="horz" rot="0" anchor="ctr"/>
              <a:lstStyle/>
              <a:p>
                <a:pPr algn="ctr">
                  <a:defRPr/>
                </a:pPr>
                <a:r>
                  <a:rPr lang="en-US" cap="none" sz="800" b="1" i="0" u="none" baseline="0">
                    <a:solidFill>
                      <a:srgbClr val="000000"/>
                    </a:solidFill>
                  </a:rPr>
                  <a:t>year</a:t>
                </a:r>
              </a:p>
            </c:rich>
          </c:tx>
          <c:layout>
            <c:manualLayout>
              <c:xMode val="factor"/>
              <c:yMode val="factor"/>
              <c:x val="-0.00975"/>
              <c:y val="0.105"/>
            </c:manualLayout>
          </c:layout>
          <c:overlay val="0"/>
          <c:spPr>
            <a:noFill/>
            <a:ln>
              <a:noFill/>
            </a:ln>
          </c:spPr>
        </c:title>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58735100"/>
        <c:crossesAt val="100"/>
        <c:auto val="1"/>
        <c:lblOffset val="100"/>
        <c:tickLblSkip val="5"/>
        <c:noMultiLvlLbl val="0"/>
      </c:catAx>
      <c:valAx>
        <c:axId val="58735100"/>
        <c:scaling>
          <c:orientation val="minMax"/>
          <c:max val="120"/>
          <c:min val="100"/>
        </c:scaling>
        <c:axPos val="l"/>
        <c:title>
          <c:tx>
            <c:rich>
              <a:bodyPr vert="horz" rot="-5400000" anchor="ctr"/>
              <a:lstStyle/>
              <a:p>
                <a:pPr algn="ctr">
                  <a:defRPr/>
                </a:pPr>
                <a:r>
                  <a:rPr lang="en-US" cap="none" sz="800" b="1" i="0" u="none" baseline="0">
                    <a:solidFill>
                      <a:srgbClr val="000000"/>
                    </a:solidFill>
                  </a:rPr>
                  <a:t>marginal values of Good #2</a:t>
                </a:r>
              </a:p>
            </c:rich>
          </c:tx>
          <c:layout>
            <c:manualLayout>
              <c:xMode val="factor"/>
              <c:yMode val="factor"/>
              <c:x val="-0.015"/>
              <c:y val="0.002"/>
            </c:manualLayout>
          </c:layout>
          <c:overlay val="0"/>
          <c:spPr>
            <a:noFill/>
            <a:ln>
              <a:noFill/>
            </a:ln>
          </c:spPr>
        </c:title>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21439203"/>
        <c:crossesAt val="1"/>
        <c:crossBetween val="midCat"/>
        <c:dispUnits/>
        <c:majorUnit val="5"/>
        <c:minorUnit val="1"/>
      </c:valAx>
      <c:spPr>
        <a:pattFill prst="dotGrid">
          <a:fgClr>
            <a:srgbClr val="808080"/>
          </a:fgClr>
          <a:bgClr>
            <a:srgbClr val="C0C0C0"/>
          </a:bgClr>
        </a:pattFill>
        <a:ln w="3175">
          <a:noFill/>
        </a:ln>
      </c:spPr>
    </c:plotArea>
    <c:legend>
      <c:legendPos val="r"/>
      <c:layout>
        <c:manualLayout>
          <c:xMode val="edge"/>
          <c:yMode val="edge"/>
          <c:x val="0.82475"/>
          <c:y val="0.15325"/>
          <c:w val="0.17525"/>
          <c:h val="0.291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0C0C0"/>
    </a:solidFill>
    <a:ln w="3175">
      <a:noFill/>
    </a:ln>
  </c:spPr>
  <c:txPr>
    <a:bodyPr vert="horz" rot="0"/>
    <a:lstStyle/>
    <a:p>
      <a:pPr>
        <a:defRPr lang="en-US" cap="none" sz="1000" b="0" i="0" u="none" baseline="0">
          <a:solidFill>
            <a:srgbClr val="000000"/>
          </a:solidFill>
          <a:latin typeface="Courier New"/>
          <a:ea typeface="Courier New"/>
          <a:cs typeface="Courier New"/>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5"/>
          <c:y val="0.012"/>
          <c:w val="0.86375"/>
          <c:h val="0.92225"/>
        </c:manualLayout>
      </c:layout>
      <c:lineChart>
        <c:grouping val="standard"/>
        <c:varyColors val="0"/>
        <c:ser>
          <c:idx val="0"/>
          <c:order val="0"/>
          <c:tx>
            <c:strRef>
              <c:f>Series!$S$15</c:f>
              <c:strCache>
                <c:ptCount val="1"/>
                <c:pt idx="0">
                  <c:v>s</c:v>
                </c:pt>
              </c:strCache>
            </c:strRef>
          </c:tx>
          <c:spPr>
            <a:ln w="3175">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Series!$R$16:$R$36</c:f>
              <c:numCache>
                <c:ptCount val="21"/>
                <c:pt idx="0">
                  <c:v>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numCache>
            </c:numRef>
          </c:cat>
          <c:val>
            <c:numRef>
              <c:f>Series!$S$16:$S$36</c:f>
              <c:numCache>
                <c:ptCount val="21"/>
                <c:pt idx="0">
                  <c:v>106.64266640111373</c:v>
                </c:pt>
                <c:pt idx="1">
                  <c:v>106.85665774604999</c:v>
                </c:pt>
                <c:pt idx="2">
                  <c:v>107.07150961651068</c:v>
                </c:pt>
                <c:pt idx="3">
                  <c:v>107.2872272136132</c:v>
                </c:pt>
                <c:pt idx="4">
                  <c:v>107.50381578047451</c:v>
                </c:pt>
                <c:pt idx="5">
                  <c:v>107.72128060263584</c:v>
                </c:pt>
                <c:pt idx="6">
                  <c:v>107.93962700849266</c:v>
                </c:pt>
                <c:pt idx="7">
                  <c:v>108.15886036972996</c:v>
                </c:pt>
                <c:pt idx="8">
                  <c:v>108.37898610176264</c:v>
                </c:pt>
                <c:pt idx="9">
                  <c:v>108.60000966418153</c:v>
                </c:pt>
                <c:pt idx="10">
                  <c:v>108.82193656120467</c:v>
                </c:pt>
                <c:pt idx="11">
                  <c:v>109.04477234213432</c:v>
                </c:pt>
                <c:pt idx="12">
                  <c:v>109.26852260181943</c:v>
                </c:pt>
                <c:pt idx="13">
                  <c:v>109.49319298112391</c:v>
                </c:pt>
                <c:pt idx="14">
                  <c:v>109.71878916740069</c:v>
                </c:pt>
                <c:pt idx="15">
                  <c:v>109.9453168949716</c:v>
                </c:pt>
                <c:pt idx="16">
                  <c:v>110.17278194561325</c:v>
                </c:pt>
                <c:pt idx="17">
                  <c:v>110.401190149049</c:v>
                </c:pt>
                <c:pt idx="18">
                  <c:v>110.63054738344687</c:v>
                </c:pt>
                <c:pt idx="19">
                  <c:v>110.86085957592394</c:v>
                </c:pt>
                <c:pt idx="20">
                  <c:v>111.09213270305683</c:v>
                </c:pt>
              </c:numCache>
            </c:numRef>
          </c:val>
          <c:smooth val="1"/>
        </c:ser>
        <c:ser>
          <c:idx val="1"/>
          <c:order val="1"/>
          <c:tx>
            <c:strRef>
              <c:f>Series!$T$15</c:f>
              <c:strCache>
                <c:ptCount val="1"/>
                <c:pt idx="0">
                  <c:v>d</c:v>
                </c:pt>
              </c:strCache>
            </c:strRef>
          </c:tx>
          <c:spPr>
            <a:ln w="3175">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Series!$R$16:$R$36</c:f>
              <c:numCache>
                <c:ptCount val="21"/>
                <c:pt idx="0">
                  <c:v>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numCache>
            </c:numRef>
          </c:cat>
          <c:val>
            <c:numRef>
              <c:f>Series!$T$16:$T$36</c:f>
              <c:numCache>
                <c:ptCount val="21"/>
                <c:pt idx="0">
                  <c:v>108.20083331062207</c:v>
                </c:pt>
                <c:pt idx="1">
                  <c:v>108.10458149387613</c:v>
                </c:pt>
                <c:pt idx="2">
                  <c:v>108.00850076968018</c:v>
                </c:pt>
                <c:pt idx="3">
                  <c:v>107.91259068225065</c:v>
                </c:pt>
                <c:pt idx="4">
                  <c:v>107.81685077742141</c:v>
                </c:pt>
                <c:pt idx="5">
                  <c:v>107.72128060263663</c:v>
                </c:pt>
                <c:pt idx="6">
                  <c:v>107.62587970694368</c:v>
                </c:pt>
                <c:pt idx="7">
                  <c:v>107.53064764098603</c:v>
                </c:pt>
                <c:pt idx="8">
                  <c:v>107.43558395699618</c:v>
                </c:pt>
                <c:pt idx="9">
                  <c:v>107.34068820878863</c:v>
                </c:pt>
                <c:pt idx="10">
                  <c:v>107.24595995175294</c:v>
                </c:pt>
                <c:pt idx="11">
                  <c:v>107.15139874284674</c:v>
                </c:pt>
                <c:pt idx="12">
                  <c:v>107.05700414058884</c:v>
                </c:pt>
                <c:pt idx="13">
                  <c:v>106.96277570505244</c:v>
                </c:pt>
                <c:pt idx="14">
                  <c:v>106.8687129978581</c:v>
                </c:pt>
                <c:pt idx="15">
                  <c:v>106.77481558216716</c:v>
                </c:pt>
                <c:pt idx="16">
                  <c:v>106.68108302267484</c:v>
                </c:pt>
                <c:pt idx="17">
                  <c:v>106.58751488560354</c:v>
                </c:pt>
                <c:pt idx="18">
                  <c:v>106.49411073869621</c:v>
                </c:pt>
                <c:pt idx="19">
                  <c:v>106.4008701512096</c:v>
                </c:pt>
                <c:pt idx="20">
                  <c:v>106.3077926939077</c:v>
                </c:pt>
              </c:numCache>
            </c:numRef>
          </c:val>
          <c:smooth val="1"/>
        </c:ser>
        <c:ser>
          <c:idx val="2"/>
          <c:order val="2"/>
          <c:tx>
            <c:strRef>
              <c:f>Series!$U$15</c:f>
              <c:strCache>
                <c:ptCount val="1"/>
                <c:pt idx="0">
                  <c:v>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Series!$R$16:$R$36</c:f>
              <c:numCache>
                <c:ptCount val="21"/>
                <c:pt idx="0">
                  <c:v>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numCache>
            </c:numRef>
          </c:cat>
          <c:val>
            <c:numRef>
              <c:f>Series!$U$16:$U$36</c:f>
              <c:numCache>
                <c:ptCount val="21"/>
                <c:pt idx="0">
                  <c:v>107.29053699954478</c:v>
                </c:pt>
                <c:pt idx="1">
                  <c:v>107.50220107679206</c:v>
                </c:pt>
                <c:pt idx="2">
                  <c:v>107.71470195181978</c:v>
                </c:pt>
                <c:pt idx="3">
                  <c:v>107.92804459678074</c:v>
                </c:pt>
                <c:pt idx="4">
                  <c:v>108.1422340232978</c:v>
                </c:pt>
                <c:pt idx="5">
                  <c:v>108.35727528285638</c:v>
                </c:pt>
                <c:pt idx="6">
                  <c:v>108.57317346720154</c:v>
                </c:pt>
                <c:pt idx="7">
                  <c:v>108.78993370873988</c:v>
                </c:pt>
                <c:pt idx="8">
                  <c:v>109.00756118094621</c:v>
                </c:pt>
                <c:pt idx="9">
                  <c:v>109.22606109877519</c:v>
                </c:pt>
                <c:pt idx="10">
                  <c:v>109.44543871907788</c:v>
                </c:pt>
                <c:pt idx="11">
                  <c:v>109.6656993410233</c:v>
                </c:pt>
                <c:pt idx="12">
                  <c:v>109.88684830652511</c:v>
                </c:pt>
                <c:pt idx="13">
                  <c:v>110.10889100067352</c:v>
                </c:pt>
                <c:pt idx="14">
                  <c:v>110.33183285217237</c:v>
                </c:pt>
                <c:pt idx="15">
                  <c:v>110.55567933378151</c:v>
                </c:pt>
                <c:pt idx="16">
                  <c:v>110.78043596276471</c:v>
                </c:pt>
                <c:pt idx="17">
                  <c:v>111.00610830134289</c:v>
                </c:pt>
                <c:pt idx="18">
                  <c:v>111.23270195715301</c:v>
                </c:pt>
                <c:pt idx="19">
                  <c:v>111.4602225837125</c:v>
                </c:pt>
                <c:pt idx="20">
                  <c:v>111.6886758808895</c:v>
                </c:pt>
              </c:numCache>
            </c:numRef>
          </c:val>
          <c:smooth val="1"/>
        </c:ser>
        <c:ser>
          <c:idx val="3"/>
          <c:order val="3"/>
          <c:tx>
            <c:strRef>
              <c:f>Series!$V$15</c:f>
              <c:strCache>
                <c:ptCount val="1"/>
                <c:pt idx="0">
                  <c:v>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Series!$R$16:$R$36</c:f>
              <c:numCache>
                <c:ptCount val="21"/>
                <c:pt idx="0">
                  <c:v>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numCache>
            </c:numRef>
          </c:cat>
          <c:val>
            <c:numRef>
              <c:f>Series!$V$16:$V$36</c:f>
              <c:numCache>
                <c:ptCount val="21"/>
                <c:pt idx="0">
                  <c:v>110.5626634279912</c:v>
                </c:pt>
                <c:pt idx="1">
                  <c:v>110.4643106067272</c:v>
                </c:pt>
                <c:pt idx="2">
                  <c:v>110.3661326126567</c:v>
                </c:pt>
                <c:pt idx="3">
                  <c:v>110.26812898004715</c:v>
                </c:pt>
                <c:pt idx="4">
                  <c:v>110.17029924481882</c:v>
                </c:pt>
                <c:pt idx="5">
                  <c:v>110.07264294453738</c:v>
                </c:pt>
                <c:pt idx="6">
                  <c:v>109.97515961840672</c:v>
                </c:pt>
                <c:pt idx="7">
                  <c:v>109.87784880726167</c:v>
                </c:pt>
                <c:pt idx="8">
                  <c:v>109.78071005356074</c:v>
                </c:pt>
                <c:pt idx="9">
                  <c:v>109.68374290137903</c:v>
                </c:pt>
                <c:pt idx="10">
                  <c:v>109.58694689640105</c:v>
                </c:pt>
                <c:pt idx="11">
                  <c:v>109.49032158591359</c:v>
                </c:pt>
                <c:pt idx="12">
                  <c:v>109.39386651879875</c:v>
                </c:pt>
                <c:pt idx="13">
                  <c:v>109.29758124552687</c:v>
                </c:pt>
                <c:pt idx="14">
                  <c:v>109.20146531814952</c:v>
                </c:pt>
                <c:pt idx="15">
                  <c:v>109.1055182902926</c:v>
                </c:pt>
                <c:pt idx="16">
                  <c:v>109.00973971714942</c:v>
                </c:pt>
                <c:pt idx="17">
                  <c:v>108.91412915547382</c:v>
                </c:pt>
                <c:pt idx="18">
                  <c:v>108.8186861635733</c:v>
                </c:pt>
                <c:pt idx="19">
                  <c:v>108.72341030130231</c:v>
                </c:pt>
                <c:pt idx="20">
                  <c:v>108.62830113005535</c:v>
                </c:pt>
              </c:numCache>
            </c:numRef>
          </c:val>
          <c:smooth val="1"/>
        </c:ser>
        <c:marker val="1"/>
        <c:axId val="58853853"/>
        <c:axId val="59922630"/>
      </c:lineChart>
      <c:catAx>
        <c:axId val="58853853"/>
        <c:scaling>
          <c:orientation val="minMax"/>
        </c:scaling>
        <c:axPos val="b"/>
        <c:title>
          <c:tx>
            <c:rich>
              <a:bodyPr vert="horz" rot="0" anchor="ctr"/>
              <a:lstStyle/>
              <a:p>
                <a:pPr algn="ctr">
                  <a:defRPr/>
                </a:pPr>
                <a:r>
                  <a:rPr lang="en-US" cap="none" sz="800" b="1" i="0" u="none" baseline="0">
                    <a:solidFill>
                      <a:srgbClr val="000000"/>
                    </a:solidFill>
                  </a:rPr>
                  <a:t>quantity of Good #2</a:t>
                </a:r>
              </a:p>
            </c:rich>
          </c:tx>
          <c:layout>
            <c:manualLayout>
              <c:xMode val="factor"/>
              <c:yMode val="factor"/>
              <c:x val="0.00475"/>
              <c:y val="0.01225"/>
            </c:manualLayout>
          </c:layout>
          <c:overlay val="0"/>
          <c:spPr>
            <a:noFill/>
            <a:ln>
              <a:noFill/>
            </a:ln>
          </c:spPr>
        </c:title>
        <c:delete val="0"/>
        <c:numFmt formatCode="General" sourceLinked="1"/>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59922630"/>
        <c:crossesAt val="100"/>
        <c:auto val="1"/>
        <c:lblOffset val="100"/>
        <c:tickLblSkip val="2"/>
        <c:noMultiLvlLbl val="0"/>
      </c:catAx>
      <c:valAx>
        <c:axId val="59922630"/>
        <c:scaling>
          <c:orientation val="minMax"/>
          <c:max val="120"/>
          <c:min val="100"/>
        </c:scaling>
        <c:axPos val="l"/>
        <c:title>
          <c:tx>
            <c:rich>
              <a:bodyPr vert="horz" rot="-5400000" anchor="ctr"/>
              <a:lstStyle/>
              <a:p>
                <a:pPr algn="ctr">
                  <a:defRPr/>
                </a:pPr>
                <a:r>
                  <a:rPr lang="en-US" cap="none" sz="800" b="1" i="0" u="none" baseline="0">
                    <a:solidFill>
                      <a:srgbClr val="000000"/>
                    </a:solidFill>
                  </a:rPr>
                  <a:t>price of Good #2</a:t>
                </a:r>
              </a:p>
            </c:rich>
          </c:tx>
          <c:layout>
            <c:manualLayout>
              <c:xMode val="factor"/>
              <c:yMode val="factor"/>
              <c:x val="-0.01225"/>
              <c:y val="0.0065"/>
            </c:manualLayout>
          </c:layout>
          <c:overlay val="0"/>
          <c:spPr>
            <a:noFill/>
            <a:ln>
              <a:noFill/>
            </a:ln>
          </c:spPr>
        </c:title>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58853853"/>
        <c:crossesAt val="1"/>
        <c:crossBetween val="midCat"/>
        <c:dispUnits/>
        <c:majorUnit val="5"/>
        <c:minorUnit val="1"/>
      </c:valAx>
      <c:spPr>
        <a:pattFill prst="dotGrid">
          <a:fgClr>
            <a:srgbClr val="808080"/>
          </a:fgClr>
          <a:bgClr>
            <a:srgbClr val="C0C0C0"/>
          </a:bgClr>
        </a:pattFill>
        <a:ln w="3175">
          <a:noFill/>
        </a:ln>
      </c:spPr>
    </c:plotArea>
    <c:legend>
      <c:legendPos val="r"/>
      <c:layout>
        <c:manualLayout>
          <c:xMode val="edge"/>
          <c:yMode val="edge"/>
          <c:x val="0.855"/>
          <c:y val="0.09575"/>
          <c:w val="0.13175"/>
          <c:h val="0.22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0C0C0"/>
    </a:solidFill>
    <a:ln w="3175">
      <a:noFill/>
    </a:ln>
  </c:spPr>
  <c:txPr>
    <a:bodyPr vert="horz" rot="0"/>
    <a:lstStyle/>
    <a:p>
      <a:pPr>
        <a:defRPr lang="en-US" cap="none" sz="1000" b="0" i="0" u="none" baseline="0">
          <a:solidFill>
            <a:srgbClr val="000000"/>
          </a:solidFill>
          <a:latin typeface="Courier New"/>
          <a:ea typeface="Courier New"/>
          <a:cs typeface="Courier New"/>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75"/>
          <c:y val="0.018"/>
          <c:w val="0.84775"/>
          <c:h val="0.901"/>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Series!$G$8:$G$38</c:f>
              <c:numCache>
                <c:ptCount val="31"/>
                <c:pt idx="0">
                  <c:v>0.10734842139886247</c:v>
                </c:pt>
                <c:pt idx="1">
                  <c:v>0.10191520230478068</c:v>
                </c:pt>
                <c:pt idx="2">
                  <c:v>0.10342291778269419</c:v>
                </c:pt>
                <c:pt idx="3">
                  <c:v>0.10409599264280023</c:v>
                </c:pt>
                <c:pt idx="4">
                  <c:v>0.10400897005950127</c:v>
                </c:pt>
                <c:pt idx="5">
                  <c:v>0.1037982435939877</c:v>
                </c:pt>
                <c:pt idx="6">
                  <c:v>0.10364500770249219</c:v>
                </c:pt>
                <c:pt idx="7">
                  <c:v>0.10355157335201381</c:v>
                </c:pt>
                <c:pt idx="8">
                  <c:v>0.10349382312293764</c:v>
                </c:pt>
                <c:pt idx="9">
                  <c:v>0.10345696360486878</c:v>
                </c:pt>
                <c:pt idx="10">
                  <c:v>0.10343362632415487</c:v>
                </c:pt>
                <c:pt idx="11">
                  <c:v>0.10341933827307037</c:v>
                </c:pt>
                <c:pt idx="12">
                  <c:v>0.10341091051232087</c:v>
                </c:pt>
                <c:pt idx="13">
                  <c:v>0.10340608801553386</c:v>
                </c:pt>
                <c:pt idx="14">
                  <c:v>0.1034033611643006</c:v>
                </c:pt>
                <c:pt idx="15">
                  <c:v>0.1034017591293066</c:v>
                </c:pt>
                <c:pt idx="16">
                  <c:v>0.10340067504745631</c:v>
                </c:pt>
                <c:pt idx="17">
                  <c:v>0.1033997440749872</c:v>
                </c:pt>
                <c:pt idx="18">
                  <c:v>0.10339876256543135</c:v>
                </c:pt>
                <c:pt idx="19">
                  <c:v>0.1033976330722568</c:v>
                </c:pt>
                <c:pt idx="20">
                  <c:v>0.10339632577209024</c:v>
                </c:pt>
                <c:pt idx="21">
                  <c:v>0.10339485133661852</c:v>
                </c:pt>
                <c:pt idx="22">
                  <c:v>0.10339324223562318</c:v>
                </c:pt>
                <c:pt idx="23">
                  <c:v>0.10339154027162212</c:v>
                </c:pt>
                <c:pt idx="24">
                  <c:v>0.10338978864110948</c:v>
                </c:pt>
                <c:pt idx="25">
                  <c:v>0.10338802721373885</c:v>
                </c:pt>
                <c:pt idx="26">
                  <c:v>0.10338629004345279</c:v>
                </c:pt>
                <c:pt idx="27">
                  <c:v>0.10338460437856756</c:v>
                </c:pt>
                <c:pt idx="28">
                  <c:v>0.10338299063281498</c:v>
                </c:pt>
                <c:pt idx="29">
                  <c:v>0.1033814629294445</c:v>
                </c:pt>
                <c:pt idx="30">
                  <c:v>0.1033804593685943</c:v>
                </c:pt>
              </c:numCache>
            </c:numRef>
          </c:val>
          <c:smooth val="1"/>
        </c:ser>
        <c:marker val="1"/>
        <c:axId val="2432759"/>
        <c:axId val="21894832"/>
      </c:lineChart>
      <c:lineChart>
        <c:grouping val="standard"/>
        <c:varyColors val="0"/>
        <c:ser>
          <c:idx val="0"/>
          <c:order val="1"/>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Series!$H$8:$H$38</c:f>
              <c:numCache>
                <c:ptCount val="31"/>
                <c:pt idx="0">
                  <c:v>0.46651860175476434</c:v>
                </c:pt>
                <c:pt idx="1">
                  <c:v>0.4927971999376762</c:v>
                </c:pt>
                <c:pt idx="2">
                  <c:v>0.48293221160023353</c:v>
                </c:pt>
                <c:pt idx="3">
                  <c:v>0.47947996610579324</c:v>
                </c:pt>
                <c:pt idx="4">
                  <c:v>0.48068921204834036</c:v>
                </c:pt>
                <c:pt idx="5">
                  <c:v>0.48232012924915685</c:v>
                </c:pt>
                <c:pt idx="6">
                  <c:v>0.4832627838404371</c:v>
                </c:pt>
                <c:pt idx="7">
                  <c:v>0.4835956992800911</c:v>
                </c:pt>
                <c:pt idx="8">
                  <c:v>0.4835587714259815</c:v>
                </c:pt>
                <c:pt idx="9">
                  <c:v>0.4833117474676132</c:v>
                </c:pt>
                <c:pt idx="10">
                  <c:v>0.48294760407152754</c:v>
                </c:pt>
                <c:pt idx="11">
                  <c:v>0.48252551420396766</c:v>
                </c:pt>
                <c:pt idx="12">
                  <c:v>0.4820850274495444</c:v>
                </c:pt>
                <c:pt idx="13">
                  <c:v>0.4816515675495072</c:v>
                </c:pt>
                <c:pt idx="14">
                  <c:v>0.4812401981098827</c:v>
                </c:pt>
                <c:pt idx="15">
                  <c:v>0.48085884884205277</c:v>
                </c:pt>
                <c:pt idx="16">
                  <c:v>0.4805107974198985</c:v>
                </c:pt>
                <c:pt idx="17">
                  <c:v>0.48019640082317655</c:v>
                </c:pt>
                <c:pt idx="18">
                  <c:v>0.4799142610573556</c:v>
                </c:pt>
                <c:pt idx="19">
                  <c:v>0.4796620072041448</c:v>
                </c:pt>
                <c:pt idx="20">
                  <c:v>0.47943681654304954</c:v>
                </c:pt>
                <c:pt idx="21">
                  <c:v>0.47923575291783715</c:v>
                </c:pt>
                <c:pt idx="22">
                  <c:v>0.4790559758471822</c:v>
                </c:pt>
                <c:pt idx="23">
                  <c:v>0.47889485942471527</c:v>
                </c:pt>
                <c:pt idx="24">
                  <c:v>0.47875004990713776</c:v>
                </c:pt>
                <c:pt idx="25">
                  <c:v>0.4786194831039844</c:v>
                </c:pt>
                <c:pt idx="26">
                  <c:v>0.47850137670551507</c:v>
                </c:pt>
                <c:pt idx="27">
                  <c:v>0.4783942081817815</c:v>
                </c:pt>
                <c:pt idx="28">
                  <c:v>0.4782966855394067</c:v>
                </c:pt>
                <c:pt idx="29">
                  <c:v>0.47820771576171583</c:v>
                </c:pt>
                <c:pt idx="30">
                  <c:v>0.4781505785235966</c:v>
                </c:pt>
              </c:numCache>
            </c:numRef>
          </c:val>
          <c:smooth val="1"/>
        </c:ser>
        <c:marker val="1"/>
        <c:axId val="62835761"/>
        <c:axId val="28650938"/>
      </c:lineChart>
      <c:catAx>
        <c:axId val="2432759"/>
        <c:scaling>
          <c:orientation val="minMax"/>
        </c:scaling>
        <c:axPos val="b"/>
        <c:title>
          <c:tx>
            <c:rich>
              <a:bodyPr vert="horz" rot="0" anchor="ctr"/>
              <a:lstStyle/>
              <a:p>
                <a:pPr algn="ctr">
                  <a:defRPr/>
                </a:pPr>
                <a:r>
                  <a:rPr lang="en-US" cap="none" sz="800" b="1" i="0" u="none" baseline="0">
                    <a:solidFill>
                      <a:srgbClr val="000000"/>
                    </a:solidFill>
                  </a:rPr>
                  <a:t>year</a:t>
                </a:r>
              </a:p>
            </c:rich>
          </c:tx>
          <c:layout>
            <c:manualLayout>
              <c:xMode val="factor"/>
              <c:yMode val="factor"/>
              <c:x val="-0.00425"/>
              <c:y val="0.10425"/>
            </c:manualLayout>
          </c:layout>
          <c:overlay val="0"/>
          <c:spPr>
            <a:noFill/>
            <a:ln>
              <a:noFill/>
            </a:ln>
          </c:spPr>
        </c:title>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21894832"/>
        <c:crossesAt val="0.09"/>
        <c:auto val="1"/>
        <c:lblOffset val="100"/>
        <c:tickLblSkip val="5"/>
        <c:noMultiLvlLbl val="0"/>
      </c:catAx>
      <c:valAx>
        <c:axId val="21894832"/>
        <c:scaling>
          <c:orientation val="minMax"/>
          <c:max val="0.11"/>
          <c:min val="0.09"/>
        </c:scaling>
        <c:axPos val="l"/>
        <c:title>
          <c:tx>
            <c:rich>
              <a:bodyPr vert="horz" rot="-5400000" anchor="ctr"/>
              <a:lstStyle/>
              <a:p>
                <a:pPr algn="ctr">
                  <a:defRPr/>
                </a:pPr>
                <a:r>
                  <a:rPr lang="en-US" cap="none" sz="800" b="1" i="0" u="none" baseline="0">
                    <a:solidFill>
                      <a:srgbClr val="800000"/>
                    </a:solidFill>
                  </a:rPr>
                  <a:t>interest rate</a:t>
                </a:r>
              </a:p>
            </c:rich>
          </c:tx>
          <c:layout>
            <c:manualLayout>
              <c:xMode val="factor"/>
              <c:yMode val="factor"/>
              <c:x val="-0.02425"/>
              <c:y val="0"/>
            </c:manualLayout>
          </c:layout>
          <c:overlay val="0"/>
          <c:spPr>
            <a:noFill/>
            <a:ln>
              <a:noFill/>
            </a:ln>
          </c:spPr>
        </c:title>
        <c:delete val="0"/>
        <c:numFmt formatCode="0.0%" sourceLinked="0"/>
        <c:majorTickMark val="out"/>
        <c:minorTickMark val="out"/>
        <c:tickLblPos val="nextTo"/>
        <c:spPr>
          <a:ln w="3175">
            <a:solidFill>
              <a:srgbClr val="000000"/>
            </a:solidFill>
          </a:ln>
        </c:spPr>
        <c:txPr>
          <a:bodyPr vert="horz" rot="0"/>
          <a:lstStyle/>
          <a:p>
            <a:pPr>
              <a:defRPr lang="en-US" cap="none" sz="800" b="1" i="0" u="none" baseline="0">
                <a:solidFill>
                  <a:srgbClr val="800000"/>
                </a:solidFill>
              </a:defRPr>
            </a:pPr>
          </a:p>
        </c:txPr>
        <c:crossAx val="2432759"/>
        <c:crossesAt val="1"/>
        <c:crossBetween val="midCat"/>
        <c:dispUnits/>
        <c:majorUnit val="0.005"/>
        <c:minorUnit val="0.0025"/>
      </c:valAx>
      <c:catAx>
        <c:axId val="62835761"/>
        <c:scaling>
          <c:orientation val="minMax"/>
        </c:scaling>
        <c:axPos val="b"/>
        <c:delete val="1"/>
        <c:majorTickMark val="out"/>
        <c:minorTickMark val="none"/>
        <c:tickLblPos val="nextTo"/>
        <c:crossAx val="28650938"/>
        <c:crossesAt val="0.4"/>
        <c:auto val="1"/>
        <c:lblOffset val="100"/>
        <c:tickLblSkip val="1"/>
        <c:noMultiLvlLbl val="0"/>
      </c:catAx>
      <c:valAx>
        <c:axId val="28650938"/>
        <c:scaling>
          <c:orientation val="minMax"/>
          <c:max val="0.6"/>
          <c:min val="0.4"/>
        </c:scaling>
        <c:axPos val="l"/>
        <c:title>
          <c:tx>
            <c:rich>
              <a:bodyPr vert="horz" rot="-5400000" anchor="ctr"/>
              <a:lstStyle/>
              <a:p>
                <a:pPr algn="ctr">
                  <a:defRPr/>
                </a:pPr>
                <a:r>
                  <a:rPr lang="en-US" cap="none" sz="800" b="1" i="0" u="none" baseline="0">
                    <a:solidFill>
                      <a:srgbClr val="000000"/>
                    </a:solidFill>
                  </a:rPr>
                  <a:t>currency value</a:t>
                </a:r>
              </a:p>
            </c:rich>
          </c:tx>
          <c:layout>
            <c:manualLayout>
              <c:xMode val="factor"/>
              <c:yMode val="factor"/>
              <c:x val="-0.01325"/>
              <c:y val="0.00475"/>
            </c:manualLayout>
          </c:layout>
          <c:overlay val="0"/>
          <c:spPr>
            <a:noFill/>
            <a:ln>
              <a:noFill/>
            </a:ln>
          </c:spPr>
        </c:title>
        <c:delete val="0"/>
        <c:numFmt formatCode="0.00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62835761"/>
        <c:crosses val="max"/>
        <c:crossBetween val="midCat"/>
        <c:dispUnits/>
        <c:majorUnit val="0.05"/>
        <c:minorUnit val="0.01"/>
      </c:valAx>
      <c:spPr>
        <a:pattFill prst="dotGrid">
          <a:fgClr>
            <a:srgbClr val="808080"/>
          </a:fgClr>
          <a:bgClr>
            <a:srgbClr val="C0C0C0"/>
          </a:bgClr>
        </a:pattFill>
        <a:ln w="3175">
          <a:noFill/>
        </a:ln>
      </c:spPr>
    </c:plotArea>
    <c:plotVisOnly val="1"/>
    <c:dispBlanksAs val="gap"/>
    <c:showDLblsOverMax val="0"/>
  </c:chart>
  <c:spPr>
    <a:solidFill>
      <a:srgbClr val="C0C0C0"/>
    </a:solidFill>
    <a:ln w="3175">
      <a:noFill/>
    </a:ln>
  </c:spPr>
  <c:txPr>
    <a:bodyPr vert="horz" rot="0"/>
    <a:lstStyle/>
    <a:p>
      <a:pPr>
        <a:defRPr lang="en-US" cap="none" sz="1000" b="0" i="0" u="none" baseline="0">
          <a:solidFill>
            <a:srgbClr val="000000"/>
          </a:solidFill>
          <a:latin typeface="Courier New"/>
          <a:ea typeface="Courier New"/>
          <a:cs typeface="Courier New"/>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year</a:t>
            </a:r>
          </a:p>
        </c:rich>
      </c:tx>
      <c:layout>
        <c:manualLayout>
          <c:xMode val="factor"/>
          <c:yMode val="factor"/>
          <c:x val="0.328"/>
          <c:y val="0.9175"/>
        </c:manualLayout>
      </c:layout>
      <c:spPr>
        <a:noFill/>
        <a:ln>
          <a:noFill/>
        </a:ln>
      </c:spPr>
    </c:title>
    <c:plotArea>
      <c:layout>
        <c:manualLayout>
          <c:xMode val="edge"/>
          <c:yMode val="edge"/>
          <c:x val="0.06975"/>
          <c:y val="0.04725"/>
          <c:w val="0.8635"/>
          <c:h val="0.8965"/>
        </c:manualLayout>
      </c:layout>
      <c:lineChart>
        <c:grouping val="standard"/>
        <c:varyColors val="0"/>
        <c:ser>
          <c:idx val="0"/>
          <c:order val="0"/>
          <c:tx>
            <c:strRef>
              <c:f>Series!$D$7</c:f>
              <c:strCache>
                <c:ptCount val="1"/>
                <c:pt idx="0">
                  <c:v>Y2</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Series!$D$8:$D$38</c:f>
              <c:numCache>
                <c:ptCount val="31"/>
                <c:pt idx="0">
                  <c:v>761.25</c:v>
                </c:pt>
                <c:pt idx="1">
                  <c:v>787.3789962284773</c:v>
                </c:pt>
                <c:pt idx="2">
                  <c:v>792.8639986490325</c:v>
                </c:pt>
                <c:pt idx="3">
                  <c:v>795.1569219335752</c:v>
                </c:pt>
                <c:pt idx="4">
                  <c:v>796.6597211336357</c:v>
                </c:pt>
                <c:pt idx="5">
                  <c:v>798.0039857975871</c:v>
                </c:pt>
                <c:pt idx="6">
                  <c:v>799.1439442359888</c:v>
                </c:pt>
                <c:pt idx="7">
                  <c:v>800.0305439701533</c:v>
                </c:pt>
                <c:pt idx="8">
                  <c:v>800.7008295025698</c:v>
                </c:pt>
                <c:pt idx="9">
                  <c:v>801.2142177445348</c:v>
                </c:pt>
                <c:pt idx="10">
                  <c:v>801.6175956843599</c:v>
                </c:pt>
                <c:pt idx="11">
                  <c:v>801.9422405057094</c:v>
                </c:pt>
                <c:pt idx="12">
                  <c:v>802.2090711345945</c:v>
                </c:pt>
                <c:pt idx="13">
                  <c:v>802.4327079369896</c:v>
                </c:pt>
                <c:pt idx="14">
                  <c:v>802.6236262218972</c:v>
                </c:pt>
                <c:pt idx="15">
                  <c:v>802.7893733906903</c:v>
                </c:pt>
                <c:pt idx="16">
                  <c:v>802.9353950638697</c:v>
                </c:pt>
                <c:pt idx="17">
                  <c:v>803.0656369417447</c:v>
                </c:pt>
                <c:pt idx="18">
                  <c:v>803.18297805169</c:v>
                </c:pt>
                <c:pt idx="19">
                  <c:v>803.2895373801703</c:v>
                </c:pt>
                <c:pt idx="20">
                  <c:v>803.3868908779359</c:v>
                </c:pt>
                <c:pt idx="21">
                  <c:v>803.476226393339</c:v>
                </c:pt>
                <c:pt idx="22">
                  <c:v>803.5584550767189</c:v>
                </c:pt>
                <c:pt idx="23">
                  <c:v>803.6342916013591</c:v>
                </c:pt>
                <c:pt idx="24">
                  <c:v>803.7043117139683</c:v>
                </c:pt>
                <c:pt idx="25">
                  <c:v>803.7689932012554</c:v>
                </c:pt>
                <c:pt idx="26">
                  <c:v>803.8287447207695</c:v>
                </c:pt>
                <c:pt idx="27">
                  <c:v>803.8839257853288</c:v>
                </c:pt>
                <c:pt idx="28">
                  <c:v>803.9348603498529</c:v>
                </c:pt>
                <c:pt idx="29">
                  <c:v>803.9818458290056</c:v>
                </c:pt>
                <c:pt idx="30">
                  <c:v>804.0122395099934</c:v>
                </c:pt>
              </c:numCache>
            </c:numRef>
          </c:val>
          <c:smooth val="1"/>
        </c:ser>
        <c:ser>
          <c:idx val="1"/>
          <c:order val="1"/>
          <c:tx>
            <c:strRef>
              <c:f>Series!$E$7</c:f>
              <c:strCache>
                <c:ptCount val="1"/>
                <c:pt idx="0">
                  <c:v>S2</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Series!$E$8:$E$38</c:f>
              <c:numCache>
                <c:ptCount val="31"/>
                <c:pt idx="0">
                  <c:v>761.25</c:v>
                </c:pt>
                <c:pt idx="1">
                  <c:v>787.3789962284773</c:v>
                </c:pt>
                <c:pt idx="2">
                  <c:v>792.8639986490325</c:v>
                </c:pt>
                <c:pt idx="3">
                  <c:v>795.1569219335752</c:v>
                </c:pt>
                <c:pt idx="4">
                  <c:v>796.6597211336357</c:v>
                </c:pt>
                <c:pt idx="5">
                  <c:v>798.0039857975871</c:v>
                </c:pt>
                <c:pt idx="6">
                  <c:v>799.1439442359888</c:v>
                </c:pt>
                <c:pt idx="7">
                  <c:v>800.0305439701533</c:v>
                </c:pt>
                <c:pt idx="8">
                  <c:v>800.7008295025698</c:v>
                </c:pt>
                <c:pt idx="9">
                  <c:v>801.2142177445348</c:v>
                </c:pt>
                <c:pt idx="10">
                  <c:v>801.6175956843599</c:v>
                </c:pt>
                <c:pt idx="11">
                  <c:v>801.9422405057094</c:v>
                </c:pt>
                <c:pt idx="12">
                  <c:v>802.2090711345945</c:v>
                </c:pt>
                <c:pt idx="13">
                  <c:v>802.4327079369896</c:v>
                </c:pt>
                <c:pt idx="14">
                  <c:v>802.6236262218972</c:v>
                </c:pt>
                <c:pt idx="15">
                  <c:v>802.7893733906903</c:v>
                </c:pt>
                <c:pt idx="16">
                  <c:v>802.9353950638697</c:v>
                </c:pt>
                <c:pt idx="17">
                  <c:v>803.0656369417447</c:v>
                </c:pt>
                <c:pt idx="18">
                  <c:v>803.18297805169</c:v>
                </c:pt>
                <c:pt idx="19">
                  <c:v>803.2895373801698</c:v>
                </c:pt>
                <c:pt idx="20">
                  <c:v>803.3868908779359</c:v>
                </c:pt>
                <c:pt idx="21">
                  <c:v>803.476226393339</c:v>
                </c:pt>
                <c:pt idx="22">
                  <c:v>803.5584550767189</c:v>
                </c:pt>
                <c:pt idx="23">
                  <c:v>803.6342916013598</c:v>
                </c:pt>
                <c:pt idx="24">
                  <c:v>803.7043117139688</c:v>
                </c:pt>
                <c:pt idx="25">
                  <c:v>803.7689932012554</c:v>
                </c:pt>
                <c:pt idx="26">
                  <c:v>803.8287447207695</c:v>
                </c:pt>
                <c:pt idx="27">
                  <c:v>803.8839257853288</c:v>
                </c:pt>
                <c:pt idx="28">
                  <c:v>803.9348603498529</c:v>
                </c:pt>
                <c:pt idx="29">
                  <c:v>803.9818458290056</c:v>
                </c:pt>
                <c:pt idx="30">
                  <c:v>804.0122395099934</c:v>
                </c:pt>
              </c:numCache>
            </c:numRef>
          </c:val>
          <c:smooth val="1"/>
        </c:ser>
        <c:ser>
          <c:idx val="2"/>
          <c:order val="2"/>
          <c:tx>
            <c:strRef>
              <c:f>Series!$F$7</c:f>
              <c:strCache>
                <c:ptCount val="1"/>
                <c:pt idx="0">
                  <c:v>D2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Series!$F$8:$F$38</c:f>
              <c:numCache>
                <c:ptCount val="31"/>
                <c:pt idx="0">
                  <c:v>830.4728259227297</c:v>
                </c:pt>
                <c:pt idx="1">
                  <c:v>842.957972623051</c:v>
                </c:pt>
                <c:pt idx="2">
                  <c:v>835.5944614470332</c:v>
                </c:pt>
                <c:pt idx="3">
                  <c:v>830.6476669069235</c:v>
                </c:pt>
                <c:pt idx="4">
                  <c:v>826.4739344515385</c:v>
                </c:pt>
                <c:pt idx="5">
                  <c:v>822.723540877052</c:v>
                </c:pt>
                <c:pt idx="6">
                  <c:v>819.6577171910822</c:v>
                </c:pt>
                <c:pt idx="7">
                  <c:v>817.3178508982182</c:v>
                </c:pt>
                <c:pt idx="8">
                  <c:v>815.5549350276826</c:v>
                </c:pt>
                <c:pt idx="9">
                  <c:v>814.1979489037983</c:v>
                </c:pt>
                <c:pt idx="10">
                  <c:v>813.1205276090227</c:v>
                </c:pt>
                <c:pt idx="11">
                  <c:v>812.2400633344674</c:v>
                </c:pt>
                <c:pt idx="12">
                  <c:v>811.5024968144361</c:v>
                </c:pt>
                <c:pt idx="13">
                  <c:v>810.8712412018862</c:v>
                </c:pt>
                <c:pt idx="14">
                  <c:v>810.3209585860853</c:v>
                </c:pt>
                <c:pt idx="15">
                  <c:v>809.8339098459589</c:v>
                </c:pt>
                <c:pt idx="16">
                  <c:v>809.3975642412821</c:v>
                </c:pt>
                <c:pt idx="17">
                  <c:v>809.0029603773704</c:v>
                </c:pt>
                <c:pt idx="18">
                  <c:v>808.6435856020004</c:v>
                </c:pt>
                <c:pt idx="19">
                  <c:v>808.3146155635883</c:v>
                </c:pt>
                <c:pt idx="20">
                  <c:v>808.0123968544978</c:v>
                </c:pt>
                <c:pt idx="21">
                  <c:v>807.734092145064</c:v>
                </c:pt>
                <c:pt idx="22">
                  <c:v>807.4774350869022</c:v>
                </c:pt>
                <c:pt idx="23">
                  <c:v>807.240560569516</c:v>
                </c:pt>
                <c:pt idx="24">
                  <c:v>807.0218873379108</c:v>
                </c:pt>
                <c:pt idx="25">
                  <c:v>806.8200372424997</c:v>
                </c:pt>
                <c:pt idx="26">
                  <c:v>806.6337801827802</c:v>
                </c:pt>
                <c:pt idx="27">
                  <c:v>806.4619970478565</c:v>
                </c:pt>
                <c:pt idx="28">
                  <c:v>806.3036551866643</c:v>
                </c:pt>
                <c:pt idx="29">
                  <c:v>806.1577924984329</c:v>
                </c:pt>
                <c:pt idx="30">
                  <c:v>806.0635440511651</c:v>
                </c:pt>
              </c:numCache>
            </c:numRef>
          </c:val>
          <c:smooth val="1"/>
        </c:ser>
        <c:marker val="1"/>
        <c:axId val="56531851"/>
        <c:axId val="39024612"/>
      </c:lineChart>
      <c:catAx>
        <c:axId val="56531851"/>
        <c:scaling>
          <c:orientation val="minMax"/>
        </c:scaling>
        <c:axPos val="b"/>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39024612"/>
        <c:crossesAt val="725"/>
        <c:auto val="1"/>
        <c:lblOffset val="100"/>
        <c:tickLblSkip val="5"/>
        <c:noMultiLvlLbl val="0"/>
      </c:catAx>
      <c:valAx>
        <c:axId val="39024612"/>
        <c:scaling>
          <c:orientation val="minMax"/>
          <c:max val="850"/>
          <c:min val="725"/>
        </c:scaling>
        <c:axPos val="l"/>
        <c:title>
          <c:tx>
            <c:rich>
              <a:bodyPr vert="horz" rot="-5400000" anchor="ctr"/>
              <a:lstStyle/>
              <a:p>
                <a:pPr algn="ctr">
                  <a:defRPr/>
                </a:pPr>
                <a:r>
                  <a:rPr lang="en-US" cap="none" sz="800" b="1" i="0" u="none" baseline="0">
                    <a:solidFill>
                      <a:srgbClr val="000000"/>
                    </a:solidFill>
                  </a:rPr>
                  <a:t>quantity of Good #2 per year</a:t>
                </a:r>
              </a:p>
            </c:rich>
          </c:tx>
          <c:layout>
            <c:manualLayout>
              <c:xMode val="factor"/>
              <c:yMode val="factor"/>
              <c:x val="-0.01625"/>
              <c:y val="0.0075"/>
            </c:manualLayout>
          </c:layout>
          <c:overlay val="0"/>
          <c:spPr>
            <a:noFill/>
            <a:ln>
              <a:noFill/>
            </a:ln>
          </c:spPr>
        </c:title>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56531851"/>
        <c:crossesAt val="1"/>
        <c:crossBetween val="midCat"/>
        <c:dispUnits/>
        <c:majorUnit val="25"/>
        <c:minorUnit val="5"/>
      </c:valAx>
      <c:spPr>
        <a:pattFill prst="dotGrid">
          <a:fgClr>
            <a:srgbClr val="808080"/>
          </a:fgClr>
          <a:bgClr>
            <a:srgbClr val="C0C0C0"/>
          </a:bgClr>
        </a:pattFill>
        <a:ln w="3175">
          <a:noFill/>
        </a:ln>
      </c:spPr>
    </c:plotArea>
    <c:legend>
      <c:legendPos val="r"/>
      <c:layout>
        <c:manualLayout>
          <c:xMode val="edge"/>
          <c:yMode val="edge"/>
          <c:x val="0.85625"/>
          <c:y val="0.475"/>
          <c:w val="0.14375"/>
          <c:h val="0.168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0C0C0"/>
    </a:solidFill>
    <a:ln w="3175">
      <a:noFill/>
    </a:ln>
  </c:spPr>
  <c:txPr>
    <a:bodyPr vert="horz" rot="0"/>
    <a:lstStyle/>
    <a:p>
      <a:pPr>
        <a:defRPr lang="en-US" cap="none" sz="1000" b="0" i="0" u="none" baseline="0">
          <a:solidFill>
            <a:srgbClr val="000000"/>
          </a:solidFill>
          <a:latin typeface="Courier New"/>
          <a:ea typeface="Courier New"/>
          <a:cs typeface="Courier New"/>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fecon.com/" TargetMode="External" /><Relationship Id="rId3" Type="http://schemas.openxmlformats.org/officeDocument/2006/relationships/hyperlink" Target="http://www.sfecon.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2</xdr:row>
      <xdr:rowOff>47625</xdr:rowOff>
    </xdr:from>
    <xdr:to>
      <xdr:col>12</xdr:col>
      <xdr:colOff>200025</xdr:colOff>
      <xdr:row>111</xdr:row>
      <xdr:rowOff>133350</xdr:rowOff>
    </xdr:to>
    <xdr:sp fLocksText="0">
      <xdr:nvSpPr>
        <xdr:cNvPr id="1" name="Text 1"/>
        <xdr:cNvSpPr txBox="1">
          <a:spLocks noChangeArrowheads="1"/>
        </xdr:cNvSpPr>
      </xdr:nvSpPr>
      <xdr:spPr>
        <a:xfrm>
          <a:off x="1304925" y="390525"/>
          <a:ext cx="7124700" cy="18773775"/>
        </a:xfrm>
        <a:prstGeom prst="rect">
          <a:avLst/>
        </a:prstGeom>
        <a:noFill/>
        <a:ln w="9525" cmpd="sng">
          <a:noFill/>
        </a:ln>
      </xdr:spPr>
      <xdr:txBody>
        <a:bodyPr vertOverflow="clip" wrap="square" lIns="20160" tIns="20160" rIns="20160" bIns="20160"/>
        <a:p>
          <a:pPr algn="l">
            <a:defRPr/>
          </a:pPr>
          <a:r>
            <a:rPr lang="en-US" cap="none" sz="1200" b="1" i="0" u="none" baseline="0">
              <a:solidFill>
                <a:srgbClr val="000000"/>
              </a:solidFill>
            </a:rPr>
            <a:t>Print this sheet -- it explains the other sheets.
This workbook embodies a certain SFEcon theory of economic adjustment that is explicated at www.sfecon.com. It is written in Excel 2003. The workbook contains VBasic programs that will alert anti-virus software. Upon opening, your ‘security setting’ must be no higher than ‘medium’ when the workbook is loaded, and macros must be ‘enabled’ in order to run the programs. 
The M0.2.1.1 workbook operates on a 3 x 3 economic matrix representing a 'Seed and Corn' economy: Sectors 1 and 2 produce the economy's two economic goods; and Sector 3 is the household sector. 
The ‘1 DT’ sheet displays a matrix transformation by which an economic state is advanced across one differential element of time. State variables embody 1) the physical holdings of a commodity by a sector, and 2) money in the forms of either capital invested or savings accumulated. State variables are highlighted in background shades of blue and green. All matrices used by the algorithm are associated with data names that are explicated through the Glossary Page at sfecon.com.
The pattern of computations proceeds from left to right, down, and back from right to left. This pattern begins with the model's current state and ends with its next state. These computations have reference to parameters describing 1) the commodities’ turnover rates , and 2) the sectors’ production and utility tradeoffs. Parameters are highlighted in background shades of lavender and purple, and are grouped at the top of ‘1 DT’. The algorithm’s computations terminate in an instantaneous rate of change for each state variable. Rates are highlighted in background shades of yellow.
Rates are integrated with the system’s current state by simple application of Euler’s rule in order to compute the system’s next state. Passage of one differential time period is accomplished by overlaying the values of the current state with the values computed for the next state. Time's passage is emulated by a macro that recursively overlays 'current states' with 'next states' using Excel’s 'paste values' command. 
Simulation controls are located on the left side of ‘1 DT’. These are comprised in a few buttons and simulation parameters. All the simulation parameters, TIME, DT, PER, and SIMLEN are measured in years. The SIMLEN parameter can be changed at will to alter the period to be simulated. Other parameters should NOT require alteration. 
The ‘Reinitiate’ button sets the model to its equilibrium state and clears any data generated by prior experiments. This button must be clicked in the process of preparing to run each new simulation.
The ‘Plastic’, ‘Elastic’, and ‘Monetary’ buttons give the experimenter a set of options with which to stimulate the model. ‘Plastic’ is currently set to suddenly make Sector 2 a more efficient user of its inputs. ‘Elastic’ is currently set to suddenly create an excess of Sector 2's product. ‘Monetary’ suddenly increases the capital stock.
The ‘Simulate Time’ button launches an experiment, which traces the model’s adjustment to the imposed stimuli through time. This process creates graphically advancing time series as it advances TIME through the requisite number of DT's needed to arrive at the specified length of simulation SIMLEN. The process stops automatically when SIMLEN is reached, having sampled the time series generated at intervals defined by PER. This requires only a few seconds, after which control returns to Excel.
To run your first simulation, click on ‘Reinitiate’, then on ‘Plastic’, and then on 'Simulate Time'.
The ‘Graphs’ sheet contains the charts that record the simulation. These charts will typically need to have their vertical scales adjusted for the sake of a final presentation.
The ‘Series’ sheet records the time series data generated by an experiment.
The ‘GPE’ sheet computes the model's inital equilibrium prices. Initial utility and production tradeoffs are computed on the 'Utility' sheet. Initiation is completed by computation of initial state variables on the 'IState' sheet. The model recurs to these sheets when the experimenter requests that the model be reinitiated.
</a:t>
          </a:r>
        </a:p>
      </xdr:txBody>
    </xdr:sp>
    <xdr:clientData/>
  </xdr:twoCellAnchor>
  <xdr:twoCellAnchor>
    <xdr:from>
      <xdr:col>0</xdr:col>
      <xdr:colOff>152400</xdr:colOff>
      <xdr:row>1</xdr:row>
      <xdr:rowOff>152400</xdr:rowOff>
    </xdr:from>
    <xdr:to>
      <xdr:col>1</xdr:col>
      <xdr:colOff>276225</xdr:colOff>
      <xdr:row>6</xdr:row>
      <xdr:rowOff>142875</xdr:rowOff>
    </xdr:to>
    <xdr:pic>
      <xdr:nvPicPr>
        <xdr:cNvPr id="2" name="Picture 2">
          <a:hlinkClick r:id="rId3"/>
        </xdr:cNvPr>
        <xdr:cNvPicPr preferRelativeResize="1">
          <a:picLocks noChangeAspect="1"/>
        </xdr:cNvPicPr>
      </xdr:nvPicPr>
      <xdr:blipFill>
        <a:blip r:embed="rId1"/>
        <a:stretch>
          <a:fillRect/>
        </a:stretch>
      </xdr:blipFill>
      <xdr:spPr>
        <a:xfrm>
          <a:off x="152400" y="323850"/>
          <a:ext cx="809625" cy="8477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xdr:row>
      <xdr:rowOff>85725</xdr:rowOff>
    </xdr:from>
    <xdr:to>
      <xdr:col>1</xdr:col>
      <xdr:colOff>542925</xdr:colOff>
      <xdr:row>6</xdr:row>
      <xdr:rowOff>114300</xdr:rowOff>
    </xdr:to>
    <xdr:grpSp>
      <xdr:nvGrpSpPr>
        <xdr:cNvPr id="1" name="Group 2389"/>
        <xdr:cNvGrpSpPr>
          <a:grpSpLocks/>
        </xdr:cNvGrpSpPr>
      </xdr:nvGrpSpPr>
      <xdr:grpSpPr>
        <a:xfrm>
          <a:off x="247650" y="257175"/>
          <a:ext cx="933450" cy="885825"/>
          <a:chOff x="418" y="697"/>
          <a:chExt cx="1517" cy="1455"/>
        </a:xfrm>
        <a:solidFill>
          <a:srgbClr val="FFFFFF"/>
        </a:solidFill>
      </xdr:grpSpPr>
      <xdr:sp>
        <xdr:nvSpPr>
          <xdr:cNvPr id="2" name="Rectangle 2250"/>
          <xdr:cNvSpPr>
            <a:spLocks/>
          </xdr:cNvSpPr>
        </xdr:nvSpPr>
        <xdr:spPr>
          <a:xfrm>
            <a:off x="418" y="697"/>
            <a:ext cx="1517" cy="1455"/>
          </a:xfrm>
          <a:prstGeom prst="round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pic>
        <xdr:nvPicPr>
          <xdr:cNvPr id="3" name="Picture 1764"/>
          <xdr:cNvPicPr preferRelativeResize="1">
            <a:picLocks noChangeAspect="1"/>
          </xdr:cNvPicPr>
        </xdr:nvPicPr>
        <xdr:blipFill>
          <a:blip r:embed="rId1"/>
          <a:stretch>
            <a:fillRect/>
          </a:stretch>
        </xdr:blipFill>
        <xdr:spPr>
          <a:xfrm>
            <a:off x="612" y="854"/>
            <a:ext cx="1086" cy="1122"/>
          </a:xfrm>
          <a:prstGeom prst="rect">
            <a:avLst/>
          </a:prstGeom>
          <a:blipFill>
            <a:blip r:embed=""/>
            <a:srcRect/>
            <a:stretch>
              <a:fillRect/>
            </a:stretch>
          </a:blipFill>
          <a:ln w="9525" cmpd="sng">
            <a:noFill/>
          </a:ln>
        </xdr:spPr>
      </xdr:pic>
    </xdr:grpSp>
    <xdr:clientData/>
  </xdr:twoCellAnchor>
  <xdr:twoCellAnchor>
    <xdr:from>
      <xdr:col>16</xdr:col>
      <xdr:colOff>381000</xdr:colOff>
      <xdr:row>11</xdr:row>
      <xdr:rowOff>28575</xdr:rowOff>
    </xdr:from>
    <xdr:to>
      <xdr:col>16</xdr:col>
      <xdr:colOff>381000</xdr:colOff>
      <xdr:row>104</xdr:row>
      <xdr:rowOff>95250</xdr:rowOff>
    </xdr:to>
    <xdr:sp>
      <xdr:nvSpPr>
        <xdr:cNvPr id="4" name="Line 2316"/>
        <xdr:cNvSpPr>
          <a:spLocks/>
        </xdr:cNvSpPr>
      </xdr:nvSpPr>
      <xdr:spPr>
        <a:xfrm>
          <a:off x="9039225" y="1914525"/>
          <a:ext cx="0" cy="16011525"/>
        </a:xfrm>
        <a:prstGeom prst="line">
          <a:avLst/>
        </a:prstGeom>
        <a:noFill/>
        <a:ln w="9360" cmpd="sng">
          <a:solidFill>
            <a:srgbClr val="8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16</xdr:col>
      <xdr:colOff>381000</xdr:colOff>
      <xdr:row>11</xdr:row>
      <xdr:rowOff>28575</xdr:rowOff>
    </xdr:from>
    <xdr:to>
      <xdr:col>43</xdr:col>
      <xdr:colOff>0</xdr:colOff>
      <xdr:row>11</xdr:row>
      <xdr:rowOff>28575</xdr:rowOff>
    </xdr:to>
    <xdr:sp>
      <xdr:nvSpPr>
        <xdr:cNvPr id="5" name="Line 42172"/>
        <xdr:cNvSpPr>
          <a:spLocks/>
        </xdr:cNvSpPr>
      </xdr:nvSpPr>
      <xdr:spPr>
        <a:xfrm>
          <a:off x="9039225" y="1914525"/>
          <a:ext cx="14106525" cy="0"/>
        </a:xfrm>
        <a:prstGeom prst="line">
          <a:avLst/>
        </a:prstGeom>
        <a:noFill/>
        <a:ln w="9360" cmpd="sng">
          <a:solidFill>
            <a:srgbClr val="8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19</xdr:col>
      <xdr:colOff>28575</xdr:colOff>
      <xdr:row>83</xdr:row>
      <xdr:rowOff>0</xdr:rowOff>
    </xdr:from>
    <xdr:to>
      <xdr:col>24</xdr:col>
      <xdr:colOff>171450</xdr:colOff>
      <xdr:row>83</xdr:row>
      <xdr:rowOff>0</xdr:rowOff>
    </xdr:to>
    <xdr:sp>
      <xdr:nvSpPr>
        <xdr:cNvPr id="6" name="Text Box 91"/>
        <xdr:cNvSpPr txBox="1">
          <a:spLocks noChangeArrowheads="1"/>
        </xdr:cNvSpPr>
      </xdr:nvSpPr>
      <xdr:spPr>
        <a:xfrm>
          <a:off x="10296525" y="14230350"/>
          <a:ext cx="3124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investment term T and the household Z parameter are computed by the Newton-Raphson method. Here the Euler iterations by which the system's state is advanced by one differential time element are also seen to provide the iterations by which T and Z converge to their values as implied by the system's state at a given moment 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23</xdr:row>
      <xdr:rowOff>95250</xdr:rowOff>
    </xdr:from>
    <xdr:to>
      <xdr:col>7</xdr:col>
      <xdr:colOff>447675</xdr:colOff>
      <xdr:row>42</xdr:row>
      <xdr:rowOff>28575</xdr:rowOff>
    </xdr:to>
    <xdr:graphicFrame>
      <xdr:nvGraphicFramePr>
        <xdr:cNvPr id="1" name="Chart 1"/>
        <xdr:cNvGraphicFramePr/>
      </xdr:nvGraphicFramePr>
      <xdr:xfrm>
        <a:off x="400050" y="4038600"/>
        <a:ext cx="4486275" cy="3190875"/>
      </xdr:xfrm>
      <a:graphic>
        <a:graphicData uri="http://schemas.openxmlformats.org/drawingml/2006/chart">
          <c:chart xmlns:c="http://schemas.openxmlformats.org/drawingml/2006/chart" r:id="rId1"/>
        </a:graphicData>
      </a:graphic>
    </xdr:graphicFrame>
    <xdr:clientData/>
  </xdr:twoCellAnchor>
  <xdr:twoCellAnchor>
    <xdr:from>
      <xdr:col>7</xdr:col>
      <xdr:colOff>533400</xdr:colOff>
      <xdr:row>23</xdr:row>
      <xdr:rowOff>152400</xdr:rowOff>
    </xdr:from>
    <xdr:to>
      <xdr:col>14</xdr:col>
      <xdr:colOff>85725</xdr:colOff>
      <xdr:row>43</xdr:row>
      <xdr:rowOff>0</xdr:rowOff>
    </xdr:to>
    <xdr:graphicFrame>
      <xdr:nvGraphicFramePr>
        <xdr:cNvPr id="2" name="Chart 2"/>
        <xdr:cNvGraphicFramePr/>
      </xdr:nvGraphicFramePr>
      <xdr:xfrm>
        <a:off x="4972050" y="4095750"/>
        <a:ext cx="4352925" cy="3276600"/>
      </xdr:xfrm>
      <a:graphic>
        <a:graphicData uri="http://schemas.openxmlformats.org/drawingml/2006/chart">
          <c:chart xmlns:c="http://schemas.openxmlformats.org/drawingml/2006/chart" r:id="rId2"/>
        </a:graphicData>
      </a:graphic>
    </xdr:graphicFrame>
    <xdr:clientData/>
  </xdr:twoCellAnchor>
  <xdr:twoCellAnchor>
    <xdr:from>
      <xdr:col>7</xdr:col>
      <xdr:colOff>504825</xdr:colOff>
      <xdr:row>5</xdr:row>
      <xdr:rowOff>38100</xdr:rowOff>
    </xdr:from>
    <xdr:to>
      <xdr:col>14</xdr:col>
      <xdr:colOff>428625</xdr:colOff>
      <xdr:row>24</xdr:row>
      <xdr:rowOff>38100</xdr:rowOff>
    </xdr:to>
    <xdr:graphicFrame>
      <xdr:nvGraphicFramePr>
        <xdr:cNvPr id="3" name="Chart 3"/>
        <xdr:cNvGraphicFramePr/>
      </xdr:nvGraphicFramePr>
      <xdr:xfrm>
        <a:off x="4943475" y="895350"/>
        <a:ext cx="4724400" cy="3257550"/>
      </xdr:xfrm>
      <a:graphic>
        <a:graphicData uri="http://schemas.openxmlformats.org/drawingml/2006/chart">
          <c:chart xmlns:c="http://schemas.openxmlformats.org/drawingml/2006/chart" r:id="rId3"/>
        </a:graphicData>
      </a:graphic>
    </xdr:graphicFrame>
    <xdr:clientData/>
  </xdr:twoCellAnchor>
  <xdr:twoCellAnchor>
    <xdr:from>
      <xdr:col>1</xdr:col>
      <xdr:colOff>85725</xdr:colOff>
      <xdr:row>4</xdr:row>
      <xdr:rowOff>85725</xdr:rowOff>
    </xdr:from>
    <xdr:to>
      <xdr:col>7</xdr:col>
      <xdr:colOff>295275</xdr:colOff>
      <xdr:row>23</xdr:row>
      <xdr:rowOff>133350</xdr:rowOff>
    </xdr:to>
    <xdr:graphicFrame>
      <xdr:nvGraphicFramePr>
        <xdr:cNvPr id="4" name="Chart 5"/>
        <xdr:cNvGraphicFramePr/>
      </xdr:nvGraphicFramePr>
      <xdr:xfrm>
        <a:off x="409575" y="771525"/>
        <a:ext cx="4324350" cy="3305175"/>
      </xdr:xfrm>
      <a:graphic>
        <a:graphicData uri="http://schemas.openxmlformats.org/drawingml/2006/chart">
          <c:chart xmlns:c="http://schemas.openxmlformats.org/drawingml/2006/chart" r:id="rId4"/>
        </a:graphicData>
      </a:graphic>
    </xdr:graphicFrame>
    <xdr:clientData/>
  </xdr:twoCellAnchor>
  <xdr:twoCellAnchor>
    <xdr:from>
      <xdr:col>15</xdr:col>
      <xdr:colOff>523875</xdr:colOff>
      <xdr:row>1</xdr:row>
      <xdr:rowOff>28575</xdr:rowOff>
    </xdr:from>
    <xdr:to>
      <xdr:col>17</xdr:col>
      <xdr:colOff>114300</xdr:colOff>
      <xdr:row>6</xdr:row>
      <xdr:rowOff>57150</xdr:rowOff>
    </xdr:to>
    <xdr:grpSp>
      <xdr:nvGrpSpPr>
        <xdr:cNvPr id="5" name="Group 11"/>
        <xdr:cNvGrpSpPr>
          <a:grpSpLocks/>
        </xdr:cNvGrpSpPr>
      </xdr:nvGrpSpPr>
      <xdr:grpSpPr>
        <a:xfrm>
          <a:off x="10448925" y="200025"/>
          <a:ext cx="962025" cy="885825"/>
          <a:chOff x="15398" y="326"/>
          <a:chExt cx="1527" cy="1455"/>
        </a:xfrm>
        <a:solidFill>
          <a:srgbClr val="FFFFFF"/>
        </a:solidFill>
      </xdr:grpSpPr>
      <xdr:sp>
        <xdr:nvSpPr>
          <xdr:cNvPr id="6" name="Rectangle 12"/>
          <xdr:cNvSpPr>
            <a:spLocks/>
          </xdr:cNvSpPr>
        </xdr:nvSpPr>
        <xdr:spPr>
          <a:xfrm>
            <a:off x="15398" y="326"/>
            <a:ext cx="1527" cy="1455"/>
          </a:xfrm>
          <a:prstGeom prst="round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pic>
        <xdr:nvPicPr>
          <xdr:cNvPr id="7" name="Picture 13"/>
          <xdr:cNvPicPr preferRelativeResize="1">
            <a:picLocks noChangeAspect="1"/>
          </xdr:cNvPicPr>
        </xdr:nvPicPr>
        <xdr:blipFill>
          <a:blip r:embed="rId5"/>
          <a:stretch>
            <a:fillRect/>
          </a:stretch>
        </xdr:blipFill>
        <xdr:spPr>
          <a:xfrm>
            <a:off x="15593" y="484"/>
            <a:ext cx="1094" cy="1122"/>
          </a:xfrm>
          <a:prstGeom prst="rect">
            <a:avLst/>
          </a:prstGeom>
          <a:blipFill>
            <a:blip r:embed=""/>
            <a:srcRect/>
            <a:stretch>
              <a:fillRect/>
            </a:stretch>
          </a:blip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4</xdr:row>
      <xdr:rowOff>95250</xdr:rowOff>
    </xdr:from>
    <xdr:to>
      <xdr:col>9</xdr:col>
      <xdr:colOff>76200</xdr:colOff>
      <xdr:row>21</xdr:row>
      <xdr:rowOff>38100</xdr:rowOff>
    </xdr:to>
    <xdr:sp>
      <xdr:nvSpPr>
        <xdr:cNvPr id="1" name="Rectangle 6"/>
        <xdr:cNvSpPr>
          <a:spLocks/>
        </xdr:cNvSpPr>
      </xdr:nvSpPr>
      <xdr:spPr>
        <a:xfrm>
          <a:off x="590550" y="781050"/>
          <a:ext cx="5114925" cy="2857500"/>
        </a:xfrm>
        <a:prstGeom prst="roundRect">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6</xdr:row>
      <xdr:rowOff>66675</xdr:rowOff>
    </xdr:from>
    <xdr:to>
      <xdr:col>10</xdr:col>
      <xdr:colOff>0</xdr:colOff>
      <xdr:row>21</xdr:row>
      <xdr:rowOff>28575</xdr:rowOff>
    </xdr:to>
    <xdr:sp>
      <xdr:nvSpPr>
        <xdr:cNvPr id="1" name="Rectangle 8"/>
        <xdr:cNvSpPr>
          <a:spLocks/>
        </xdr:cNvSpPr>
      </xdr:nvSpPr>
      <xdr:spPr>
        <a:xfrm>
          <a:off x="733425" y="1123950"/>
          <a:ext cx="5410200" cy="2533650"/>
        </a:xfrm>
        <a:prstGeom prst="roundRect">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10</xdr:col>
      <xdr:colOff>419100</xdr:colOff>
      <xdr:row>4</xdr:row>
      <xdr:rowOff>0</xdr:rowOff>
    </xdr:from>
    <xdr:to>
      <xdr:col>10</xdr:col>
      <xdr:colOff>419100</xdr:colOff>
      <xdr:row>51</xdr:row>
      <xdr:rowOff>85725</xdr:rowOff>
    </xdr:to>
    <xdr:sp>
      <xdr:nvSpPr>
        <xdr:cNvPr id="2" name="Line 5"/>
        <xdr:cNvSpPr>
          <a:spLocks/>
        </xdr:cNvSpPr>
      </xdr:nvSpPr>
      <xdr:spPr>
        <a:xfrm>
          <a:off x="6562725" y="714375"/>
          <a:ext cx="0" cy="81438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10</xdr:col>
      <xdr:colOff>600075</xdr:colOff>
      <xdr:row>19</xdr:row>
      <xdr:rowOff>66675</xdr:rowOff>
    </xdr:from>
    <xdr:to>
      <xdr:col>19</xdr:col>
      <xdr:colOff>314325</xdr:colOff>
      <xdr:row>19</xdr:row>
      <xdr:rowOff>66675</xdr:rowOff>
    </xdr:to>
    <xdr:sp>
      <xdr:nvSpPr>
        <xdr:cNvPr id="3" name="Line 6"/>
        <xdr:cNvSpPr>
          <a:spLocks/>
        </xdr:cNvSpPr>
      </xdr:nvSpPr>
      <xdr:spPr>
        <a:xfrm>
          <a:off x="6743700" y="3352800"/>
          <a:ext cx="56292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10</xdr:col>
      <xdr:colOff>600075</xdr:colOff>
      <xdr:row>35</xdr:row>
      <xdr:rowOff>95250</xdr:rowOff>
    </xdr:from>
    <xdr:to>
      <xdr:col>19</xdr:col>
      <xdr:colOff>314325</xdr:colOff>
      <xdr:row>35</xdr:row>
      <xdr:rowOff>95250</xdr:rowOff>
    </xdr:to>
    <xdr:sp>
      <xdr:nvSpPr>
        <xdr:cNvPr id="4" name="Line 7"/>
        <xdr:cNvSpPr>
          <a:spLocks/>
        </xdr:cNvSpPr>
      </xdr:nvSpPr>
      <xdr:spPr>
        <a:xfrm>
          <a:off x="6743700" y="6124575"/>
          <a:ext cx="56292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editAs="oneCell">
    <xdr:from>
      <xdr:col>2</xdr:col>
      <xdr:colOff>9525</xdr:colOff>
      <xdr:row>44</xdr:row>
      <xdr:rowOff>47625</xdr:rowOff>
    </xdr:from>
    <xdr:to>
      <xdr:col>8</xdr:col>
      <xdr:colOff>161925</xdr:colOff>
      <xdr:row>47</xdr:row>
      <xdr:rowOff>114300</xdr:rowOff>
    </xdr:to>
    <xdr:pic>
      <xdr:nvPicPr>
        <xdr:cNvPr id="5" name="Picture 10" descr="Eqa01"/>
        <xdr:cNvPicPr preferRelativeResize="1">
          <a:picLocks noChangeAspect="1"/>
        </xdr:cNvPicPr>
      </xdr:nvPicPr>
      <xdr:blipFill>
        <a:blip r:embed="rId1"/>
        <a:stretch>
          <a:fillRect/>
        </a:stretch>
      </xdr:blipFill>
      <xdr:spPr>
        <a:xfrm>
          <a:off x="1200150" y="7620000"/>
          <a:ext cx="3790950" cy="581025"/>
        </a:xfrm>
        <a:prstGeom prst="rect">
          <a:avLst/>
        </a:prstGeom>
        <a:noFill/>
        <a:ln w="9525" cmpd="sng">
          <a:noFill/>
        </a:ln>
      </xdr:spPr>
    </xdr:pic>
    <xdr:clientData/>
  </xdr:twoCellAnchor>
  <xdr:twoCellAnchor editAs="oneCell">
    <xdr:from>
      <xdr:col>1</xdr:col>
      <xdr:colOff>657225</xdr:colOff>
      <xdr:row>36</xdr:row>
      <xdr:rowOff>28575</xdr:rowOff>
    </xdr:from>
    <xdr:to>
      <xdr:col>9</xdr:col>
      <xdr:colOff>171450</xdr:colOff>
      <xdr:row>41</xdr:row>
      <xdr:rowOff>9525</xdr:rowOff>
    </xdr:to>
    <xdr:pic>
      <xdr:nvPicPr>
        <xdr:cNvPr id="6" name="Picture 11" descr="Eqa13"/>
        <xdr:cNvPicPr preferRelativeResize="1">
          <a:picLocks noChangeAspect="1"/>
        </xdr:cNvPicPr>
      </xdr:nvPicPr>
      <xdr:blipFill>
        <a:blip r:embed="rId2"/>
        <a:stretch>
          <a:fillRect/>
        </a:stretch>
      </xdr:blipFill>
      <xdr:spPr>
        <a:xfrm>
          <a:off x="1123950" y="6229350"/>
          <a:ext cx="4533900" cy="838200"/>
        </a:xfrm>
        <a:prstGeom prst="rect">
          <a:avLst/>
        </a:prstGeom>
        <a:noFill/>
        <a:ln w="9525" cmpd="sng">
          <a:noFill/>
        </a:ln>
      </xdr:spPr>
    </xdr:pic>
    <xdr:clientData/>
  </xdr:twoCellAnchor>
  <xdr:twoCellAnchor editAs="oneCell">
    <xdr:from>
      <xdr:col>21</xdr:col>
      <xdr:colOff>333375</xdr:colOff>
      <xdr:row>1</xdr:row>
      <xdr:rowOff>123825</xdr:rowOff>
    </xdr:from>
    <xdr:to>
      <xdr:col>28</xdr:col>
      <xdr:colOff>352425</xdr:colOff>
      <xdr:row>21</xdr:row>
      <xdr:rowOff>28575</xdr:rowOff>
    </xdr:to>
    <xdr:pic>
      <xdr:nvPicPr>
        <xdr:cNvPr id="7" name="Picture 12" descr="HYPER0"/>
        <xdr:cNvPicPr preferRelativeResize="1">
          <a:picLocks noChangeAspect="1"/>
        </xdr:cNvPicPr>
      </xdr:nvPicPr>
      <xdr:blipFill>
        <a:blip r:embed="rId3"/>
        <a:stretch>
          <a:fillRect/>
        </a:stretch>
      </xdr:blipFill>
      <xdr:spPr>
        <a:xfrm>
          <a:off x="13706475" y="295275"/>
          <a:ext cx="4676775" cy="3362325"/>
        </a:xfrm>
        <a:prstGeom prst="rect">
          <a:avLst/>
        </a:prstGeom>
        <a:noFill/>
        <a:ln w="9525" cmpd="sng">
          <a:noFill/>
        </a:ln>
      </xdr:spPr>
    </xdr:pic>
    <xdr:clientData/>
  </xdr:twoCellAnchor>
  <xdr:twoCellAnchor editAs="oneCell">
    <xdr:from>
      <xdr:col>21</xdr:col>
      <xdr:colOff>342900</xdr:colOff>
      <xdr:row>24</xdr:row>
      <xdr:rowOff>19050</xdr:rowOff>
    </xdr:from>
    <xdr:to>
      <xdr:col>28</xdr:col>
      <xdr:colOff>561975</xdr:colOff>
      <xdr:row>50</xdr:row>
      <xdr:rowOff>76200</xdr:rowOff>
    </xdr:to>
    <xdr:pic>
      <xdr:nvPicPr>
        <xdr:cNvPr id="8" name="Picture 21" descr="HSHLD0"/>
        <xdr:cNvPicPr preferRelativeResize="1">
          <a:picLocks noChangeAspect="1"/>
        </xdr:cNvPicPr>
      </xdr:nvPicPr>
      <xdr:blipFill>
        <a:blip r:embed="rId4"/>
        <a:stretch>
          <a:fillRect/>
        </a:stretch>
      </xdr:blipFill>
      <xdr:spPr>
        <a:xfrm>
          <a:off x="13716000" y="4162425"/>
          <a:ext cx="4876800" cy="451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5</xdr:row>
      <xdr:rowOff>76200</xdr:rowOff>
    </xdr:from>
    <xdr:to>
      <xdr:col>13</xdr:col>
      <xdr:colOff>542925</xdr:colOff>
      <xdr:row>16</xdr:row>
      <xdr:rowOff>66675</xdr:rowOff>
    </xdr:to>
    <xdr:sp>
      <xdr:nvSpPr>
        <xdr:cNvPr id="1" name="Rectangle 6"/>
        <xdr:cNvSpPr>
          <a:spLocks/>
        </xdr:cNvSpPr>
      </xdr:nvSpPr>
      <xdr:spPr>
        <a:xfrm>
          <a:off x="657225" y="933450"/>
          <a:ext cx="6915150" cy="1876425"/>
        </a:xfrm>
        <a:prstGeom prst="roundRect">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tabSelected="1" zoomScalePageLayoutView="0" workbookViewId="0" topLeftCell="A1">
      <selection activeCell="A1" sqref="A1"/>
    </sheetView>
  </sheetViews>
  <sheetFormatPr defaultColWidth="9.00390625" defaultRowHeight="13.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31">
    <pageSetUpPr fitToPage="1"/>
  </sheetPr>
  <dimension ref="A1:BQ207"/>
  <sheetViews>
    <sheetView showGridLines="0" zoomScalePageLayoutView="0" workbookViewId="0" topLeftCell="A1">
      <pane xSplit="3" topLeftCell="D1" activePane="topRight" state="frozen"/>
      <selection pane="topLeft" activeCell="A1" sqref="A1"/>
      <selection pane="topRight" activeCell="C26" sqref="C26"/>
    </sheetView>
  </sheetViews>
  <sheetFormatPr defaultColWidth="9.625" defaultRowHeight="13.5"/>
  <cols>
    <col min="1" max="1" width="8.375" style="0" customWidth="1"/>
    <col min="2" max="2" width="9.625" style="0" customWidth="1"/>
    <col min="3" max="3" width="2.125" style="0" customWidth="1"/>
    <col min="4" max="5" width="9.00390625" style="279" customWidth="1"/>
    <col min="6" max="6" width="3.125" style="279" customWidth="1"/>
    <col min="7" max="7" width="9.00390625" style="0" customWidth="1"/>
    <col min="8" max="8" width="3.125" style="0" customWidth="1"/>
    <col min="9" max="9" width="9.00390625" style="0" customWidth="1"/>
    <col min="10" max="10" width="3.125" style="0" customWidth="1"/>
    <col min="11" max="14" width="9.00390625" style="0" customWidth="1"/>
    <col min="15" max="15" width="3.125" style="0" customWidth="1"/>
    <col min="16" max="18" width="9.00390625" style="0" customWidth="1"/>
    <col min="19" max="19" width="3.125" style="0" customWidth="1"/>
    <col min="20" max="20" width="9.00390625" style="0" customWidth="1"/>
    <col min="21" max="21" width="3.125" style="0" customWidth="1"/>
    <col min="22" max="25" width="9.00390625" style="0" customWidth="1"/>
    <col min="26" max="26" width="3.125" style="0" customWidth="1"/>
    <col min="27" max="27" width="9.00390625" style="0" customWidth="1"/>
    <col min="28" max="28" width="3.125" style="0" customWidth="1"/>
    <col min="29" max="31" width="9.00390625" style="0" customWidth="1"/>
    <col min="32" max="32" width="3.125" style="0" customWidth="1"/>
    <col min="33" max="33" width="9.00390625" style="0" customWidth="1"/>
    <col min="34" max="34" width="3.125" style="0" customWidth="1"/>
    <col min="35" max="38" width="9.00390625" style="0" customWidth="1"/>
    <col min="39" max="39" width="3.125" style="0" customWidth="1"/>
    <col min="40" max="40" width="9.00390625" style="0" customWidth="1"/>
    <col min="41" max="41" width="3.125" style="0" customWidth="1"/>
    <col min="42" max="42" width="9.00390625" style="0" customWidth="1"/>
    <col min="43" max="43" width="3.125" style="0" customWidth="1"/>
    <col min="44" max="52" width="9.00390625" style="0" customWidth="1"/>
  </cols>
  <sheetData>
    <row r="1" spans="1:3" s="2" customFormat="1" ht="13.5" customHeight="1">
      <c r="A1" s="4"/>
      <c r="B1" s="4"/>
      <c r="C1" s="4"/>
    </row>
    <row r="2" spans="1:3" s="2" customFormat="1" ht="13.5" customHeight="1">
      <c r="A2" s="4"/>
      <c r="B2" s="4"/>
      <c r="C2" s="14"/>
    </row>
    <row r="3" spans="1:3" s="2" customFormat="1" ht="13.5" customHeight="1">
      <c r="A3" s="4"/>
      <c r="B3" s="4"/>
      <c r="C3" s="4"/>
    </row>
    <row r="4" spans="1:38" s="2" customFormat="1" ht="13.5" customHeight="1" thickBot="1">
      <c r="A4" s="4"/>
      <c r="B4" s="14"/>
      <c r="C4" s="4"/>
      <c r="AI4" s="5"/>
      <c r="AJ4" s="6">
        <f>-SUM(AJ6:AJ9)</f>
        <v>-2069.2089930830075</v>
      </c>
      <c r="AK4" s="6">
        <f>-SUM(AK6:AK9)</f>
        <v>-16310.339112108952</v>
      </c>
      <c r="AL4" s="281">
        <f>-SUM(AL6:AL9)</f>
        <v>-53811.98386505668</v>
      </c>
    </row>
    <row r="5" spans="1:43" s="2" customFormat="1" ht="13.5" customHeight="1">
      <c r="A5" s="4"/>
      <c r="B5" s="4"/>
      <c r="C5" s="4"/>
      <c r="D5" s="224"/>
      <c r="H5" s="441" t="s">
        <v>219</v>
      </c>
      <c r="U5" s="94" t="s">
        <v>88</v>
      </c>
      <c r="V5" s="9" t="s">
        <v>2</v>
      </c>
      <c r="W5" s="9" t="s">
        <v>3</v>
      </c>
      <c r="X5" s="9" t="s">
        <v>4</v>
      </c>
      <c r="Y5" s="9" t="s">
        <v>0</v>
      </c>
      <c r="AH5" s="94" t="s">
        <v>89</v>
      </c>
      <c r="AI5" s="9" t="s">
        <v>2</v>
      </c>
      <c r="AJ5" s="9" t="s">
        <v>3</v>
      </c>
      <c r="AK5" s="9" t="s">
        <v>4</v>
      </c>
      <c r="AL5" s="9" t="s">
        <v>0</v>
      </c>
      <c r="AM5" s="333" t="s">
        <v>105</v>
      </c>
      <c r="AN5" s="62" t="s">
        <v>12</v>
      </c>
      <c r="AP5" s="303" t="s">
        <v>12</v>
      </c>
      <c r="AQ5" s="303"/>
    </row>
    <row r="6" spans="1:43" s="2" customFormat="1" ht="13.5" customHeight="1">
      <c r="A6" s="4"/>
      <c r="B6" s="4"/>
      <c r="C6" s="4"/>
      <c r="T6" s="53"/>
      <c r="U6" s="9" t="s">
        <v>2</v>
      </c>
      <c r="V6" s="202"/>
      <c r="W6" s="203">
        <f aca="true" t="shared" si="0" ref="W6:Y9">SIGN(AJ20)</f>
        <v>1</v>
      </c>
      <c r="X6" s="204">
        <f t="shared" si="0"/>
        <v>1</v>
      </c>
      <c r="Y6" s="204">
        <f t="shared" si="0"/>
        <v>0</v>
      </c>
      <c r="Z6" s="9" t="s">
        <v>2</v>
      </c>
      <c r="AA6" s="53"/>
      <c r="AH6" s="9" t="s">
        <v>2</v>
      </c>
      <c r="AI6" s="53"/>
      <c r="AJ6" s="193">
        <v>794.2843664315288</v>
      </c>
      <c r="AK6" s="194">
        <v>5778.906278045539</v>
      </c>
      <c r="AL6" s="232">
        <v>8766</v>
      </c>
      <c r="AM6" s="9" t="s">
        <v>2</v>
      </c>
      <c r="AN6" s="230">
        <f>AA20+AN20</f>
        <v>-630908.7765755052</v>
      </c>
      <c r="AP6" s="323">
        <f>Utility!E28</f>
        <v>-643139.16478631</v>
      </c>
      <c r="AQ6" s="173" t="s">
        <v>2</v>
      </c>
    </row>
    <row r="7" spans="1:43" s="2" customFormat="1" ht="13.5" customHeight="1">
      <c r="A7" s="4"/>
      <c r="B7" s="4"/>
      <c r="C7" s="4"/>
      <c r="T7" s="205">
        <f>1-V7</f>
        <v>4</v>
      </c>
      <c r="U7" s="9" t="s">
        <v>3</v>
      </c>
      <c r="V7" s="206">
        <f>-SUM(W7:Y7)</f>
        <v>-3</v>
      </c>
      <c r="W7" s="207">
        <f t="shared" si="0"/>
        <v>1</v>
      </c>
      <c r="X7" s="208">
        <f t="shared" si="0"/>
        <v>1</v>
      </c>
      <c r="Y7" s="208">
        <f t="shared" si="0"/>
        <v>1</v>
      </c>
      <c r="Z7" s="241" t="s">
        <v>3</v>
      </c>
      <c r="AA7" s="305">
        <f>1/(1-V7)</f>
        <v>0.25</v>
      </c>
      <c r="AG7" s="332" t="s">
        <v>135</v>
      </c>
      <c r="AH7" s="9" t="s">
        <v>3</v>
      </c>
      <c r="AI7" s="233"/>
      <c r="AJ7" s="197">
        <v>644.284366431529</v>
      </c>
      <c r="AK7" s="198">
        <v>5546.692237386904</v>
      </c>
      <c r="AL7" s="198">
        <v>29682.74915052081</v>
      </c>
      <c r="AM7" s="241" t="s">
        <v>3</v>
      </c>
      <c r="AN7" s="69">
        <f>AJ6</f>
        <v>794.2843664315288</v>
      </c>
      <c r="AP7" s="473">
        <f>Utility!M14</f>
        <v>794.2843664315288</v>
      </c>
      <c r="AQ7" s="173" t="s">
        <v>3</v>
      </c>
    </row>
    <row r="8" spans="1:43" s="2" customFormat="1" ht="13.5" customHeight="1">
      <c r="A8" s="4"/>
      <c r="B8" s="4"/>
      <c r="C8" s="4"/>
      <c r="G8" s="42" t="s">
        <v>106</v>
      </c>
      <c r="H8" s="328"/>
      <c r="I8" s="352" t="s">
        <v>150</v>
      </c>
      <c r="K8" s="9" t="s">
        <v>2</v>
      </c>
      <c r="L8" s="9" t="s">
        <v>3</v>
      </c>
      <c r="M8" s="9" t="s">
        <v>4</v>
      </c>
      <c r="N8" s="9" t="s">
        <v>0</v>
      </c>
      <c r="T8" s="205">
        <f>1-V8</f>
        <v>4</v>
      </c>
      <c r="U8" s="9" t="s">
        <v>4</v>
      </c>
      <c r="V8" s="209">
        <f>-SUM(W8:Y8)</f>
        <v>-3</v>
      </c>
      <c r="W8" s="210">
        <f t="shared" si="0"/>
        <v>1</v>
      </c>
      <c r="X8" s="211">
        <f t="shared" si="0"/>
        <v>1</v>
      </c>
      <c r="Y8" s="212">
        <f t="shared" si="0"/>
        <v>1</v>
      </c>
      <c r="Z8" s="241" t="s">
        <v>4</v>
      </c>
      <c r="AA8" s="305">
        <f>1/(1-V8)</f>
        <v>0.25</v>
      </c>
      <c r="AG8" s="332" t="s">
        <v>136</v>
      </c>
      <c r="AH8" s="9" t="s">
        <v>4</v>
      </c>
      <c r="AI8" s="234"/>
      <c r="AJ8" s="199">
        <v>572.4895161446304</v>
      </c>
      <c r="AK8" s="200">
        <v>4693.503722212354</v>
      </c>
      <c r="AL8" s="201">
        <v>25626.027581030758</v>
      </c>
      <c r="AM8" s="241" t="s">
        <v>4</v>
      </c>
      <c r="AN8" s="69">
        <f>AK6</f>
        <v>5778.906278045539</v>
      </c>
      <c r="AP8" s="473">
        <f>Utility!M30</f>
        <v>5693.503722212354</v>
      </c>
      <c r="AQ8" s="173" t="s">
        <v>4</v>
      </c>
    </row>
    <row r="9" spans="1:43" s="2" customFormat="1" ht="13.5" customHeight="1" thickBot="1">
      <c r="A9" s="4"/>
      <c r="B9" s="4"/>
      <c r="C9" s="4"/>
      <c r="G9" s="29">
        <f>-I53</f>
        <v>-0.1033804593685943</v>
      </c>
      <c r="H9" s="328"/>
      <c r="I9" s="29">
        <f>(1-1/NPV)/Term</f>
        <v>-0.13767171200166062</v>
      </c>
      <c r="K9" s="430">
        <v>1</v>
      </c>
      <c r="L9" s="27">
        <v>0.1</v>
      </c>
      <c r="M9" s="28">
        <v>0.3333333333333333</v>
      </c>
      <c r="N9" s="308">
        <v>1</v>
      </c>
      <c r="P9" s="416" t="s">
        <v>210</v>
      </c>
      <c r="T9" s="228">
        <f>Y9-V9</f>
        <v>1</v>
      </c>
      <c r="U9" s="9" t="s">
        <v>0</v>
      </c>
      <c r="V9" s="213">
        <f>-SUM(W9:X9)</f>
        <v>-2</v>
      </c>
      <c r="W9" s="33">
        <f t="shared" si="0"/>
        <v>1</v>
      </c>
      <c r="X9" s="34">
        <f t="shared" si="0"/>
        <v>1</v>
      </c>
      <c r="Y9" s="35">
        <f t="shared" si="0"/>
        <v>-1</v>
      </c>
      <c r="Z9" s="9" t="s">
        <v>0</v>
      </c>
      <c r="AA9" s="306">
        <f>1/(1-V9)</f>
        <v>0.3333333333333333</v>
      </c>
      <c r="AG9" s="334" t="s">
        <v>137</v>
      </c>
      <c r="AH9" s="9" t="s">
        <v>0</v>
      </c>
      <c r="AI9" s="92"/>
      <c r="AJ9" s="31">
        <v>58.150744075318954</v>
      </c>
      <c r="AK9" s="32">
        <v>291.23687446415556</v>
      </c>
      <c r="AL9" s="327">
        <f>Zl</f>
        <v>-10262.792866494889</v>
      </c>
      <c r="AM9" s="9" t="s">
        <v>0</v>
      </c>
      <c r="AN9" s="447">
        <f>N9*N50</f>
        <v>-10262.792866494889</v>
      </c>
      <c r="AO9" s="452" t="s">
        <v>218</v>
      </c>
      <c r="AP9" s="473">
        <f>Utility!M45</f>
        <v>-10219.742864345546</v>
      </c>
      <c r="AQ9" s="173" t="s">
        <v>0</v>
      </c>
    </row>
    <row r="10" spans="1:43" s="2" customFormat="1" ht="13.5" customHeight="1">
      <c r="A10" s="4"/>
      <c r="B10" s="4"/>
      <c r="C10" s="4"/>
      <c r="G10" s="470">
        <v>-0.1</v>
      </c>
      <c r="I10" s="470">
        <f>IState!G13</f>
        <v>-0.13553101428571446</v>
      </c>
      <c r="K10" s="11" t="s">
        <v>184</v>
      </c>
      <c r="T10" s="42" t="s">
        <v>5</v>
      </c>
      <c r="V10" s="42" t="s">
        <v>6</v>
      </c>
      <c r="AA10" s="348" t="s">
        <v>148</v>
      </c>
      <c r="AG10" s="334"/>
      <c r="AH10" s="224"/>
      <c r="AL10" s="351"/>
      <c r="AM10" s="9"/>
      <c r="AP10" s="319"/>
      <c r="AQ10" s="173"/>
    </row>
    <row r="11" spans="1:3" s="2" customFormat="1" ht="13.5" customHeight="1">
      <c r="A11" s="4"/>
      <c r="B11" s="4"/>
      <c r="C11" s="4"/>
    </row>
    <row r="12" spans="1:4" s="2" customFormat="1" ht="13.5" customHeight="1">
      <c r="A12" s="4"/>
      <c r="B12" s="4"/>
      <c r="C12" s="4"/>
      <c r="D12" s="224"/>
    </row>
    <row r="13" spans="1:34" s="2" customFormat="1" ht="13.5" customHeight="1">
      <c r="A13" s="4"/>
      <c r="B13" s="4"/>
      <c r="C13" s="4"/>
      <c r="D13" s="224"/>
      <c r="U13" s="170"/>
      <c r="V13" s="9"/>
      <c r="W13" s="9"/>
      <c r="X13" s="9"/>
      <c r="Y13" s="9"/>
      <c r="AH13" s="300" t="s">
        <v>96</v>
      </c>
    </row>
    <row r="14" spans="1:38" s="2" customFormat="1" ht="13.5" customHeight="1" thickBot="1">
      <c r="A14" s="4"/>
      <c r="B14" s="4"/>
      <c r="C14" s="14"/>
      <c r="G14" s="280">
        <f>-SUM(G20:G23)</f>
        <v>0</v>
      </c>
      <c r="I14" s="280">
        <f>-SUM(I20:I23)</f>
        <v>0</v>
      </c>
      <c r="K14" s="349">
        <f>-K18-SUM(K20:K23)</f>
        <v>0</v>
      </c>
      <c r="L14" s="6">
        <f>-L18-SUM(L20:L23)</f>
        <v>4.547473508864641E-13</v>
      </c>
      <c r="M14" s="6">
        <f>-M18-SUM(M20:M23)</f>
        <v>0</v>
      </c>
      <c r="N14" s="281">
        <f>-N18-SUM(N20:N23)</f>
        <v>0</v>
      </c>
      <c r="P14" s="416" t="s">
        <v>204</v>
      </c>
      <c r="T14" s="280">
        <f>-SUM(T20:T23)</f>
        <v>0</v>
      </c>
      <c r="U14" s="284"/>
      <c r="V14" s="349">
        <f>-V18-SUM(V20:V23)</f>
        <v>0</v>
      </c>
      <c r="W14" s="6">
        <f>-W18-SUM(W20:W23)</f>
        <v>3.907985046680551E-14</v>
      </c>
      <c r="X14" s="6">
        <f>-X18-SUM(X20:X23)</f>
        <v>0</v>
      </c>
      <c r="Y14" s="281">
        <f>-Y18-SUM(Y20:Y23)</f>
        <v>0</v>
      </c>
      <c r="AA14" s="7" t="s">
        <v>187</v>
      </c>
      <c r="AG14" s="280">
        <f>SUM(AG61:AG63)</f>
        <v>4755546.124665268</v>
      </c>
      <c r="AH14" s="284" t="s">
        <v>97</v>
      </c>
      <c r="AI14" s="349">
        <f>SUM(V61:V63)</f>
        <v>-1642918.5838025003</v>
      </c>
      <c r="AJ14" s="6">
        <f>SUM(AJ7:AJ9)</f>
        <v>1274.9246266514783</v>
      </c>
      <c r="AK14" s="6">
        <f>SUM(AK7:AK9)</f>
        <v>10531.432834063413</v>
      </c>
      <c r="AL14" s="307">
        <f>SUM(AL7:AL8)</f>
        <v>55308.77673155157</v>
      </c>
    </row>
    <row r="15" spans="1:38" s="2" customFormat="1" ht="13.5" customHeight="1">
      <c r="A15" s="4"/>
      <c r="B15" s="4"/>
      <c r="C15" s="4"/>
      <c r="I15" s="442"/>
      <c r="K15" s="9">
        <v>0</v>
      </c>
      <c r="L15" s="9">
        <v>1</v>
      </c>
      <c r="M15" s="9">
        <v>2</v>
      </c>
      <c r="N15" s="9" t="s">
        <v>0</v>
      </c>
      <c r="P15" s="328"/>
      <c r="U15" s="170"/>
      <c r="V15" s="9">
        <v>0</v>
      </c>
      <c r="W15" s="9">
        <v>1</v>
      </c>
      <c r="X15" s="9">
        <v>2</v>
      </c>
      <c r="Y15" s="9" t="s">
        <v>0</v>
      </c>
      <c r="AA15" s="7" t="s">
        <v>185</v>
      </c>
      <c r="AH15" s="170"/>
      <c r="AI15" s="9">
        <v>0</v>
      </c>
      <c r="AJ15" s="9">
        <v>1</v>
      </c>
      <c r="AK15" s="9">
        <v>2</v>
      </c>
      <c r="AL15" s="9" t="s">
        <v>0</v>
      </c>
    </row>
    <row r="16" spans="1:43" s="2" customFormat="1" ht="13.5" customHeight="1">
      <c r="A16" s="4"/>
      <c r="B16" s="4"/>
      <c r="C16" s="4"/>
      <c r="D16" s="277"/>
      <c r="I16" s="328"/>
      <c r="P16" s="328"/>
      <c r="Z16" s="40"/>
      <c r="AA16" s="40"/>
      <c r="AB16" s="40"/>
      <c r="AC16" s="40"/>
      <c r="AE16" s="40"/>
      <c r="AF16" s="40"/>
      <c r="AK16" s="367"/>
      <c r="AO16" s="40"/>
      <c r="AP16" s="40"/>
      <c r="AQ16" s="40"/>
    </row>
    <row r="17" spans="1:16" s="2" customFormat="1" ht="13.5" customHeight="1">
      <c r="A17" s="4"/>
      <c r="B17" s="14"/>
      <c r="C17" s="4"/>
      <c r="K17" s="318"/>
      <c r="P17" s="328"/>
    </row>
    <row r="18" spans="1:42" s="2" customFormat="1" ht="13.5" customHeight="1" thickBot="1">
      <c r="A18" s="4"/>
      <c r="B18" s="14"/>
      <c r="C18" s="4"/>
      <c r="F18" s="277"/>
      <c r="K18" s="349">
        <f>K26+K34+K42</f>
        <v>0</v>
      </c>
      <c r="L18" s="6">
        <f>L26+L34+L42</f>
        <v>0</v>
      </c>
      <c r="M18" s="6">
        <f>M26+M34+M42</f>
        <v>0</v>
      </c>
      <c r="N18" s="281">
        <f>N26+N34+N42</f>
        <v>0</v>
      </c>
      <c r="P18" s="328"/>
      <c r="V18" s="349">
        <f>V0*K18</f>
        <v>0</v>
      </c>
      <c r="W18" s="6">
        <f>L$9*L18</f>
        <v>0</v>
      </c>
      <c r="X18" s="6">
        <f>M$9*M18</f>
        <v>0</v>
      </c>
      <c r="Y18" s="281">
        <f>N$9*N18</f>
        <v>0</v>
      </c>
      <c r="AG18" s="40"/>
      <c r="AI18" s="349">
        <f>V58+V18</f>
        <v>2273867.130704346</v>
      </c>
      <c r="AJ18" s="6">
        <f>AJ4+W18</f>
        <v>-2069.2089930830075</v>
      </c>
      <c r="AK18" s="6">
        <f>AK4+X18</f>
        <v>-16310.339112108952</v>
      </c>
      <c r="AL18" s="281">
        <f>AL4+Y18</f>
        <v>-53811.98386505668</v>
      </c>
      <c r="AP18" s="328"/>
    </row>
    <row r="19" spans="1:43" s="2" customFormat="1" ht="13.5" customHeight="1">
      <c r="A19" s="4"/>
      <c r="B19" s="4"/>
      <c r="C19" s="14"/>
      <c r="F19" s="277"/>
      <c r="G19" s="10" t="s">
        <v>107</v>
      </c>
      <c r="I19" s="10" t="s">
        <v>108</v>
      </c>
      <c r="K19" s="241" t="s">
        <v>2</v>
      </c>
      <c r="L19" s="9">
        <v>1</v>
      </c>
      <c r="M19" s="9">
        <v>2</v>
      </c>
      <c r="N19" s="9" t="s">
        <v>0</v>
      </c>
      <c r="P19" s="328"/>
      <c r="T19" s="49" t="s">
        <v>7</v>
      </c>
      <c r="U19" s="94" t="s">
        <v>90</v>
      </c>
      <c r="V19" s="9" t="s">
        <v>2</v>
      </c>
      <c r="W19" s="9" t="s">
        <v>3</v>
      </c>
      <c r="X19" s="9" t="s">
        <v>4</v>
      </c>
      <c r="Y19" s="9" t="s">
        <v>0</v>
      </c>
      <c r="AA19" s="62" t="s">
        <v>14</v>
      </c>
      <c r="AG19" s="10" t="s">
        <v>19</v>
      </c>
      <c r="AH19" s="42" t="s">
        <v>94</v>
      </c>
      <c r="AI19" s="9" t="s">
        <v>2</v>
      </c>
      <c r="AJ19" s="9" t="s">
        <v>3</v>
      </c>
      <c r="AK19" s="9">
        <v>2</v>
      </c>
      <c r="AL19" s="9" t="s">
        <v>0</v>
      </c>
      <c r="AN19" s="249" t="s">
        <v>13</v>
      </c>
      <c r="AP19" s="460" t="s">
        <v>196</v>
      </c>
      <c r="AQ19" s="461"/>
    </row>
    <row r="20" spans="1:43" s="2" customFormat="1" ht="13.5" customHeight="1">
      <c r="A20" s="4"/>
      <c r="B20" s="4"/>
      <c r="C20" s="4"/>
      <c r="F20" s="9" t="s">
        <v>2</v>
      </c>
      <c r="G20" s="225">
        <f>-SUM(G21:G23)</f>
        <v>-161875.30083163342</v>
      </c>
      <c r="I20" s="225">
        <f>-SUM(I21:I23)</f>
        <v>121555.42135047904</v>
      </c>
      <c r="J20" s="9" t="s">
        <v>2</v>
      </c>
      <c r="K20" s="431">
        <f aca="true" t="shared" si="1" ref="K20:N23">K28+K36+K44</f>
        <v>104588.82611424987</v>
      </c>
      <c r="L20" s="54">
        <f t="shared" si="1"/>
        <v>-1004.2288929390281</v>
      </c>
      <c r="M20" s="55">
        <f t="shared" si="1"/>
        <v>-2411.7452754705955</v>
      </c>
      <c r="N20" s="55">
        <f t="shared" si="1"/>
        <v>-8766</v>
      </c>
      <c r="O20" s="9" t="s">
        <v>2</v>
      </c>
      <c r="T20" s="355">
        <f>Nu*G20+I$9*I20</f>
        <v>0</v>
      </c>
      <c r="U20" s="9" t="s">
        <v>2</v>
      </c>
      <c r="V20" s="431">
        <f>V0*K20</f>
        <v>104588.82611424987</v>
      </c>
      <c r="W20" s="54">
        <f aca="true" t="shared" si="2" ref="W20:Y23">L$9*L20</f>
        <v>-100.42288929390281</v>
      </c>
      <c r="X20" s="55">
        <f t="shared" si="2"/>
        <v>-803.9150918235318</v>
      </c>
      <c r="Y20" s="55">
        <f t="shared" si="2"/>
        <v>-8766</v>
      </c>
      <c r="Z20" s="9" t="s">
        <v>2</v>
      </c>
      <c r="AA20" s="487">
        <f>V45</f>
        <v>-104588.82611424987</v>
      </c>
      <c r="AC20" s="471">
        <f>-GPE!E10</f>
        <v>-104588.82611424987</v>
      </c>
      <c r="AE20" s="367"/>
      <c r="AF20" s="350"/>
      <c r="AG20" s="52">
        <f>AG60+T20</f>
        <v>-4755546.124665268</v>
      </c>
      <c r="AH20" s="9" t="s">
        <v>2</v>
      </c>
      <c r="AI20" s="369">
        <f>AN20</f>
        <v>-526319.9504612553</v>
      </c>
      <c r="AJ20" s="370">
        <f>AN21</f>
        <v>693.7930868809304</v>
      </c>
      <c r="AK20" s="371">
        <f>AN22</f>
        <v>4974.894038535545</v>
      </c>
      <c r="AL20" s="55">
        <f>AL6+Y20</f>
        <v>0</v>
      </c>
      <c r="AM20" s="9" t="s">
        <v>2</v>
      </c>
      <c r="AN20" s="230">
        <f>-W53*AN21-X53*AN22-Y53*AN23</f>
        <v>-526319.9504612553</v>
      </c>
      <c r="AP20" s="323"/>
      <c r="AQ20" s="173" t="s">
        <v>2</v>
      </c>
    </row>
    <row r="21" spans="1:43" s="2" customFormat="1" ht="13.5" customHeight="1">
      <c r="A21" s="4"/>
      <c r="B21" s="4"/>
      <c r="C21" s="4"/>
      <c r="E21" s="453" t="s">
        <v>201</v>
      </c>
      <c r="F21" s="241" t="s">
        <v>3</v>
      </c>
      <c r="G21" s="68">
        <f>K_1</f>
        <v>79774.06810232175</v>
      </c>
      <c r="I21" s="68"/>
      <c r="J21" s="241" t="s">
        <v>3</v>
      </c>
      <c r="K21" s="410">
        <f t="shared" si="1"/>
        <v>-39438.54855788486</v>
      </c>
      <c r="L21" s="187">
        <f t="shared" si="1"/>
        <v>493.3019230157287</v>
      </c>
      <c r="M21" s="188">
        <f t="shared" si="1"/>
        <v>512.3225690731939</v>
      </c>
      <c r="N21" s="188">
        <f t="shared" si="1"/>
        <v>939.706029130657</v>
      </c>
      <c r="O21" s="241" t="s">
        <v>3</v>
      </c>
      <c r="P21" s="416" t="s">
        <v>205</v>
      </c>
      <c r="R21" s="379" t="s">
        <v>151</v>
      </c>
      <c r="T21" s="356">
        <f>Nu*G21+I$9*I21</f>
        <v>-8247.079806119547</v>
      </c>
      <c r="U21" s="9" t="s">
        <v>3</v>
      </c>
      <c r="V21" s="410">
        <f>V0*K21</f>
        <v>-39438.54855788486</v>
      </c>
      <c r="W21" s="408">
        <f t="shared" si="2"/>
        <v>49.33019230157287</v>
      </c>
      <c r="X21" s="188">
        <f t="shared" si="2"/>
        <v>170.77418969106463</v>
      </c>
      <c r="Y21" s="188">
        <f t="shared" si="2"/>
        <v>939.706029130657</v>
      </c>
      <c r="Z21" s="241" t="s">
        <v>3</v>
      </c>
      <c r="AA21" s="69">
        <f>AN7-AN21</f>
        <v>100.49127955059839</v>
      </c>
      <c r="AB21" s="359" t="s">
        <v>156</v>
      </c>
      <c r="AC21" s="288"/>
      <c r="AD21" s="288"/>
      <c r="AG21" s="68">
        <f>AG61+T21</f>
        <v>2505279.619003015</v>
      </c>
      <c r="AH21" s="9" t="s">
        <v>3</v>
      </c>
      <c r="AI21" s="385">
        <f>V61+V21</f>
        <v>-898397.2869940983</v>
      </c>
      <c r="AJ21" s="187">
        <f aca="true" t="shared" si="3" ref="AJ21:AK23">AJ7+W21</f>
        <v>693.6145587331018</v>
      </c>
      <c r="AK21" s="188">
        <f t="shared" si="3"/>
        <v>5717.466427077969</v>
      </c>
      <c r="AL21" s="188">
        <f>AL7+Y21</f>
        <v>30622.455179651464</v>
      </c>
      <c r="AM21" s="241" t="s">
        <v>3</v>
      </c>
      <c r="AN21" s="69">
        <f>AN7*AA29</f>
        <v>693.7930868809304</v>
      </c>
      <c r="AP21" s="473">
        <f>AG21/T7</f>
        <v>626319.9047507538</v>
      </c>
      <c r="AQ21" s="474" t="s">
        <v>3</v>
      </c>
    </row>
    <row r="22" spans="1:43" s="2" customFormat="1" ht="13.5" customHeight="1">
      <c r="A22" s="4"/>
      <c r="B22" s="4"/>
      <c r="C22" s="235"/>
      <c r="E22" s="454" t="s">
        <v>202</v>
      </c>
      <c r="F22" s="241" t="s">
        <v>4</v>
      </c>
      <c r="G22" s="68">
        <f>K_2</f>
        <v>82101.23272931167</v>
      </c>
      <c r="I22" s="68"/>
      <c r="J22" s="241" t="s">
        <v>4</v>
      </c>
      <c r="K22" s="411">
        <f t="shared" si="1"/>
        <v>-38046.64929221048</v>
      </c>
      <c r="L22" s="190">
        <f t="shared" si="1"/>
        <v>310.56638224985295</v>
      </c>
      <c r="M22" s="95">
        <f t="shared" si="1"/>
        <v>841.8963584166636</v>
      </c>
      <c r="N22" s="191">
        <f t="shared" si="1"/>
        <v>1016.7611744837136</v>
      </c>
      <c r="O22" s="241" t="s">
        <v>4</v>
      </c>
      <c r="P22" s="415" t="s">
        <v>203</v>
      </c>
      <c r="T22" s="356">
        <f>Nu*G22+I$9*I22</f>
        <v>-8487.66315428411</v>
      </c>
      <c r="U22" s="9" t="s">
        <v>4</v>
      </c>
      <c r="V22" s="411">
        <f>V0*K22</f>
        <v>-38046.64929221048</v>
      </c>
      <c r="W22" s="409">
        <f t="shared" si="2"/>
        <v>31.056638224985296</v>
      </c>
      <c r="X22" s="95">
        <f t="shared" si="2"/>
        <v>280.6321194722212</v>
      </c>
      <c r="Y22" s="191">
        <f t="shared" si="2"/>
        <v>1016.7611744837136</v>
      </c>
      <c r="Z22" s="241" t="s">
        <v>4</v>
      </c>
      <c r="AA22" s="69">
        <f>AN8-AN22</f>
        <v>804.0122395099934</v>
      </c>
      <c r="AE22" s="383" t="s">
        <v>172</v>
      </c>
      <c r="AF22" s="381" t="s">
        <v>166</v>
      </c>
      <c r="AG22" s="68">
        <f>AG62+T22</f>
        <v>2179741.104327249</v>
      </c>
      <c r="AH22" s="9" t="s">
        <v>4</v>
      </c>
      <c r="AI22" s="386">
        <f>V62+V22</f>
        <v>-781648.2390299127</v>
      </c>
      <c r="AJ22" s="190">
        <f t="shared" si="3"/>
        <v>603.5461543696157</v>
      </c>
      <c r="AK22" s="95">
        <f t="shared" si="3"/>
        <v>4974.135841684575</v>
      </c>
      <c r="AL22" s="191">
        <f>AL8+Y22</f>
        <v>26642.78875551447</v>
      </c>
      <c r="AM22" s="241" t="s">
        <v>4</v>
      </c>
      <c r="AN22" s="69">
        <f>AN8*AA30</f>
        <v>4974.894038535545</v>
      </c>
      <c r="AP22" s="473">
        <f>AG22/T8</f>
        <v>544935.2760818122</v>
      </c>
      <c r="AQ22" s="474" t="s">
        <v>4</v>
      </c>
    </row>
    <row r="23" spans="1:43" s="2" customFormat="1" ht="13.5" customHeight="1" thickBot="1">
      <c r="A23" s="4"/>
      <c r="B23" s="14"/>
      <c r="C23" s="236"/>
      <c r="F23" s="241" t="s">
        <v>0</v>
      </c>
      <c r="G23" s="227"/>
      <c r="I23" s="227">
        <f>I31+I39+I47</f>
        <v>-121555.42135047904</v>
      </c>
      <c r="J23" s="241" t="s">
        <v>0</v>
      </c>
      <c r="K23" s="387">
        <f t="shared" si="1"/>
        <v>-27103.62826415453</v>
      </c>
      <c r="L23" s="37">
        <f t="shared" si="1"/>
        <v>200.36058767344605</v>
      </c>
      <c r="M23" s="38">
        <f t="shared" si="1"/>
        <v>1057.5263479807377</v>
      </c>
      <c r="N23" s="39">
        <f t="shared" si="1"/>
        <v>6809.532796385629</v>
      </c>
      <c r="O23" s="241" t="s">
        <v>0</v>
      </c>
      <c r="T23" s="298">
        <f>Nu*G23+I$9*I23</f>
        <v>16734.74296040366</v>
      </c>
      <c r="U23" s="9" t="s">
        <v>0</v>
      </c>
      <c r="V23" s="387">
        <f>V0*K23</f>
        <v>-27103.62826415453</v>
      </c>
      <c r="W23" s="37">
        <f t="shared" si="2"/>
        <v>20.036058767344606</v>
      </c>
      <c r="X23" s="38">
        <f t="shared" si="2"/>
        <v>352.50878266024586</v>
      </c>
      <c r="Y23" s="39">
        <f t="shared" si="2"/>
        <v>6809.532796385629</v>
      </c>
      <c r="Z23" s="9" t="s">
        <v>0</v>
      </c>
      <c r="AA23" s="251">
        <f>AN9-AN23</f>
        <v>-6809.611135926281</v>
      </c>
      <c r="AB23" s="440" t="s">
        <v>183</v>
      </c>
      <c r="AC23" s="7" t="s">
        <v>194</v>
      </c>
      <c r="AG23" s="227">
        <f>AG63+T23</f>
        <v>70525.40133500374</v>
      </c>
      <c r="AH23" s="9" t="s">
        <v>0</v>
      </c>
      <c r="AI23" s="387">
        <f>V63+V23</f>
        <v>-67461.88389273884</v>
      </c>
      <c r="AJ23" s="37">
        <f t="shared" si="3"/>
        <v>78.18680284266355</v>
      </c>
      <c r="AK23" s="38">
        <f t="shared" si="3"/>
        <v>643.7456571244014</v>
      </c>
      <c r="AL23" s="368">
        <f>AN23</f>
        <v>-3453.1817305686077</v>
      </c>
      <c r="AM23" s="241" t="s">
        <v>0</v>
      </c>
      <c r="AN23" s="251">
        <f>AN9*AA31</f>
        <v>-3453.1817305686077</v>
      </c>
      <c r="AP23" s="473">
        <f>AG23/T9</f>
        <v>70525.40133500374</v>
      </c>
      <c r="AQ23" s="474" t="s">
        <v>0</v>
      </c>
    </row>
    <row r="24" spans="1:30" s="2" customFormat="1" ht="13.5" customHeight="1">
      <c r="A24" s="4"/>
      <c r="B24" s="4"/>
      <c r="C24" s="266"/>
      <c r="G24" s="318" t="s">
        <v>114</v>
      </c>
      <c r="I24" s="469" t="s">
        <v>115</v>
      </c>
      <c r="V24" s="388" t="s">
        <v>182</v>
      </c>
      <c r="AD24" s="7"/>
    </row>
    <row r="25" spans="1:11" s="2" customFormat="1" ht="13.5" customHeight="1">
      <c r="A25" s="4"/>
      <c r="B25" s="266"/>
      <c r="C25" s="266"/>
      <c r="K25" s="253"/>
    </row>
    <row r="26" spans="1:23" s="2" customFormat="1" ht="13.5" customHeight="1" thickBot="1">
      <c r="A26" s="238" t="s">
        <v>8</v>
      </c>
      <c r="B26" s="235">
        <v>30</v>
      </c>
      <c r="C26" s="4"/>
      <c r="K26" s="43">
        <v>0</v>
      </c>
      <c r="L26" s="44">
        <v>0</v>
      </c>
      <c r="M26" s="44">
        <v>0</v>
      </c>
      <c r="N26" s="309">
        <v>0</v>
      </c>
      <c r="W26" s="377" t="s">
        <v>163</v>
      </c>
    </row>
    <row r="27" spans="1:43" s="2" customFormat="1" ht="13.5" customHeight="1">
      <c r="A27" s="238" t="s">
        <v>15</v>
      </c>
      <c r="B27" s="237">
        <v>0.01</v>
      </c>
      <c r="C27" s="4"/>
      <c r="J27" s="94" t="s">
        <v>86</v>
      </c>
      <c r="K27" s="9">
        <v>0</v>
      </c>
      <c r="L27" s="9">
        <v>1</v>
      </c>
      <c r="M27" s="9">
        <v>2</v>
      </c>
      <c r="N27" s="9" t="s">
        <v>0</v>
      </c>
      <c r="T27" s="42" t="s">
        <v>9</v>
      </c>
      <c r="U27" s="283" t="s">
        <v>93</v>
      </c>
      <c r="V27" s="241" t="s">
        <v>2</v>
      </c>
      <c r="W27" s="9" t="s">
        <v>3</v>
      </c>
      <c r="X27" s="9">
        <v>2</v>
      </c>
      <c r="Y27" s="241" t="s">
        <v>0</v>
      </c>
      <c r="AA27" s="249" t="s">
        <v>84</v>
      </c>
      <c r="AG27" s="49" t="s">
        <v>123</v>
      </c>
      <c r="AI27" s="389" t="s">
        <v>199</v>
      </c>
      <c r="AN27" s="459" t="s">
        <v>211</v>
      </c>
      <c r="AP27" s="354" t="s">
        <v>212</v>
      </c>
      <c r="AQ27" s="461"/>
    </row>
    <row r="28" spans="1:43" s="2" customFormat="1" ht="13.5" customHeight="1">
      <c r="A28" s="238" t="s">
        <v>16</v>
      </c>
      <c r="B28" s="239">
        <f>B26/30</f>
        <v>1</v>
      </c>
      <c r="C28" s="240"/>
      <c r="F28" s="339" t="s">
        <v>2</v>
      </c>
      <c r="G28" s="169"/>
      <c r="I28" s="169"/>
      <c r="J28" s="339" t="s">
        <v>2</v>
      </c>
      <c r="K28" s="423">
        <v>34862.94203808329</v>
      </c>
      <c r="L28" s="50">
        <v>-334.8829144200053</v>
      </c>
      <c r="M28" s="51">
        <v>-803.9663699792438</v>
      </c>
      <c r="N28" s="51">
        <v>-2922</v>
      </c>
      <c r="O28" s="9" t="s">
        <v>2</v>
      </c>
      <c r="T28" s="63"/>
      <c r="U28" s="9" t="s">
        <v>2</v>
      </c>
      <c r="V28" s="286">
        <f>-AA20/AN20</f>
        <v>-0.19871719858346718</v>
      </c>
      <c r="W28" s="477">
        <f>-AA21/AN21</f>
        <v>-0.14484329903368556</v>
      </c>
      <c r="X28" s="478">
        <f>-AA22/AN22</f>
        <v>-0.16161394258492984</v>
      </c>
      <c r="Y28" s="171"/>
      <c r="Z28" s="9" t="s">
        <v>2</v>
      </c>
      <c r="AA28" s="63">
        <f>AN20/AN6</f>
        <v>0.8342251209724089</v>
      </c>
      <c r="AG28" s="52"/>
      <c r="AH28" s="9" t="s">
        <v>2</v>
      </c>
      <c r="AI28" s="384"/>
      <c r="AM28" s="9" t="s">
        <v>2</v>
      </c>
      <c r="AN28" s="52"/>
      <c r="AP28" s="323"/>
      <c r="AQ28" s="173" t="s">
        <v>2</v>
      </c>
    </row>
    <row r="29" spans="1:43" s="2" customFormat="1" ht="13.5" customHeight="1">
      <c r="A29" s="238" t="s">
        <v>17</v>
      </c>
      <c r="B29" s="235">
        <v>30.000591278076172</v>
      </c>
      <c r="C29" s="4"/>
      <c r="F29" s="339" t="s">
        <v>3</v>
      </c>
      <c r="G29" s="214">
        <v>79774.06810232175</v>
      </c>
      <c r="I29" s="214"/>
      <c r="J29" s="339" t="s">
        <v>3</v>
      </c>
      <c r="K29" s="424">
        <v>-13146.08304717909</v>
      </c>
      <c r="L29" s="56">
        <v>164.55056575840942</v>
      </c>
      <c r="M29" s="57">
        <v>170.75860077495665</v>
      </c>
      <c r="N29" s="57">
        <v>313.2250705379626</v>
      </c>
      <c r="O29" s="241" t="s">
        <v>3</v>
      </c>
      <c r="R29" s="380" t="s">
        <v>141</v>
      </c>
      <c r="S29" s="381" t="s">
        <v>166</v>
      </c>
      <c r="T29" s="64">
        <f>W28-V29</f>
        <v>-0.013167144729048674</v>
      </c>
      <c r="U29" s="241" t="s">
        <v>3</v>
      </c>
      <c r="V29" s="65">
        <f>-SUM(W29:Y29)</f>
        <v>-0.1316761543046369</v>
      </c>
      <c r="W29" s="66">
        <f aca="true" t="shared" si="4" ref="W29:Y30">W21/AJ21</f>
        <v>0.07112046839339022</v>
      </c>
      <c r="X29" s="67">
        <f t="shared" si="4"/>
        <v>0.02986885745096406</v>
      </c>
      <c r="Y29" s="67">
        <f t="shared" si="4"/>
        <v>0.030686828460282606</v>
      </c>
      <c r="Z29" s="241" t="s">
        <v>3</v>
      </c>
      <c r="AA29" s="64">
        <f>(1-W29)*(1-X29)*(1-Y29)</f>
        <v>0.8734819873113274</v>
      </c>
      <c r="AG29" s="68">
        <f>T21/T29</f>
        <v>626337.7501976769</v>
      </c>
      <c r="AH29" s="241" t="s">
        <v>3</v>
      </c>
      <c r="AI29" s="439">
        <f>V21/V29</f>
        <v>299511.6979695697</v>
      </c>
      <c r="AM29" s="241" t="s">
        <v>3</v>
      </c>
      <c r="AN29" s="68">
        <f>AN46*AN21</f>
        <v>626380.7413282907</v>
      </c>
      <c r="AP29" s="473">
        <f>P0*AI29</f>
        <v>626396.1844287277</v>
      </c>
      <c r="AQ29" s="474" t="s">
        <v>3</v>
      </c>
    </row>
    <row r="30" spans="1:43" s="2" customFormat="1" ht="13.5" customHeight="1">
      <c r="A30" s="4"/>
      <c r="B30" s="14"/>
      <c r="C30" s="4"/>
      <c r="F30" s="339" t="s">
        <v>4</v>
      </c>
      <c r="G30" s="214">
        <v>82101.23272931167</v>
      </c>
      <c r="I30" s="214"/>
      <c r="J30" s="339" t="s">
        <v>4</v>
      </c>
      <c r="K30" s="425">
        <v>-12682.221194301605</v>
      </c>
      <c r="L30" s="215">
        <v>103.55943466353598</v>
      </c>
      <c r="M30" s="216">
        <v>280.65438899713087</v>
      </c>
      <c r="N30" s="217">
        <v>338.91734212533197</v>
      </c>
      <c r="O30" s="241" t="s">
        <v>4</v>
      </c>
      <c r="R30" s="382" t="s">
        <v>142</v>
      </c>
      <c r="T30" s="64">
        <f>X28-V30</f>
        <v>-0.015576020777338107</v>
      </c>
      <c r="U30" s="241" t="s">
        <v>4</v>
      </c>
      <c r="V30" s="242">
        <f>-SUM(W30:Y30)</f>
        <v>-0.14603792180759173</v>
      </c>
      <c r="W30" s="243">
        <f t="shared" si="4"/>
        <v>0.051456939954199435</v>
      </c>
      <c r="X30" s="244">
        <f t="shared" si="4"/>
        <v>0.056418266087638724</v>
      </c>
      <c r="Y30" s="245">
        <f t="shared" si="4"/>
        <v>0.03816271576575356</v>
      </c>
      <c r="Z30" s="241" t="s">
        <v>4</v>
      </c>
      <c r="AA30" s="64">
        <f>(1-W30)*(1-X30)*(1-Y30)</f>
        <v>0.8608712097366087</v>
      </c>
      <c r="AG30" s="68">
        <f>T22/T30</f>
        <v>544918.5819418652</v>
      </c>
      <c r="AH30" s="241" t="s">
        <v>4</v>
      </c>
      <c r="AI30" s="439">
        <f>V22/V30</f>
        <v>260525.8197411067</v>
      </c>
      <c r="AM30" s="241" t="s">
        <v>4</v>
      </c>
      <c r="AN30" s="68">
        <f>AN47*AN22</f>
        <v>544988.9904427332</v>
      </c>
      <c r="AP30" s="473">
        <f>P0*AI30</f>
        <v>544861.4546186308</v>
      </c>
      <c r="AQ30" s="474" t="s">
        <v>4</v>
      </c>
    </row>
    <row r="31" spans="1:43" s="2" customFormat="1" ht="13.5" customHeight="1" thickBot="1">
      <c r="A31" s="4"/>
      <c r="B31" s="4"/>
      <c r="C31" s="14"/>
      <c r="F31" s="339" t="s">
        <v>0</v>
      </c>
      <c r="G31" s="226"/>
      <c r="I31" s="226">
        <v>-40549.01835231788</v>
      </c>
      <c r="J31" s="339" t="s">
        <v>0</v>
      </c>
      <c r="K31" s="426">
        <v>-9034.637796602592</v>
      </c>
      <c r="L31" s="218">
        <v>66.77291399806025</v>
      </c>
      <c r="M31" s="219">
        <v>352.55338020715647</v>
      </c>
      <c r="N31" s="220">
        <v>2269.8575873367054</v>
      </c>
      <c r="O31" s="241" t="s">
        <v>0</v>
      </c>
      <c r="T31" s="250">
        <f>Y31-V31</f>
        <v>0.23730224110046216</v>
      </c>
      <c r="U31" s="241" t="s">
        <v>0</v>
      </c>
      <c r="V31" s="467">
        <f>-SUM(W31:X31)</f>
        <v>-0.8038489845733509</v>
      </c>
      <c r="W31" s="247">
        <f>W23/AJ23</f>
        <v>0.256258831911358</v>
      </c>
      <c r="X31" s="248">
        <f>X23/AK23</f>
        <v>0.5475901526619928</v>
      </c>
      <c r="Y31" s="479">
        <f>(AL6+AA23)/AN23</f>
        <v>-0.5665467434728887</v>
      </c>
      <c r="Z31" s="9" t="s">
        <v>0</v>
      </c>
      <c r="AA31" s="250">
        <f>(1-W31)*(1-X31)</f>
        <v>0.33647582831397366</v>
      </c>
      <c r="AG31" s="227">
        <f>T23/T31</f>
        <v>70520.79610710034</v>
      </c>
      <c r="AH31" s="241" t="s">
        <v>0</v>
      </c>
      <c r="AI31" s="437">
        <f>V23/V31</f>
        <v>33717.31355553057</v>
      </c>
      <c r="AM31" s="9" t="s">
        <v>0</v>
      </c>
      <c r="AN31" s="227">
        <f>AN48*AN23</f>
        <v>70628.7223459324</v>
      </c>
      <c r="AP31" s="473">
        <f>P0*AI31</f>
        <v>70516.09904905014</v>
      </c>
      <c r="AQ31" s="173" t="s">
        <v>0</v>
      </c>
    </row>
    <row r="32" spans="1:25" s="2" customFormat="1" ht="13.5" customHeight="1">
      <c r="A32" s="4"/>
      <c r="B32" s="4"/>
      <c r="C32" s="4"/>
      <c r="F32" s="224"/>
      <c r="Y32" s="378" t="s">
        <v>164</v>
      </c>
    </row>
    <row r="33" spans="1:6" s="2" customFormat="1" ht="13.5" customHeight="1">
      <c r="A33" s="4"/>
      <c r="B33" s="4"/>
      <c r="C33" s="4"/>
      <c r="F33" s="224"/>
    </row>
    <row r="34" spans="1:43" s="2" customFormat="1" ht="13.5" customHeight="1" thickBot="1">
      <c r="A34" s="4"/>
      <c r="B34" s="4"/>
      <c r="C34" s="4"/>
      <c r="I34" s="226"/>
      <c r="K34" s="43">
        <v>0</v>
      </c>
      <c r="L34" s="44">
        <v>0</v>
      </c>
      <c r="M34" s="44">
        <v>0</v>
      </c>
      <c r="N34" s="309">
        <v>0</v>
      </c>
      <c r="V34" s="349">
        <f>-SUM(W34:Y34)</f>
        <v>2273867.3843982364</v>
      </c>
      <c r="W34" s="392">
        <f>-SUM(W36:W39)</f>
        <v>-893266.5292357767</v>
      </c>
      <c r="X34" s="392">
        <f>-SUM(X36:X39)</f>
        <v>-854280.6510073137</v>
      </c>
      <c r="Y34" s="393">
        <f>-SUM(Y36:Y39)</f>
        <v>-526320.2041551458</v>
      </c>
      <c r="AI34" s="70">
        <f>-SUM(AJ34:AL34)</f>
        <v>4755546.124665269</v>
      </c>
      <c r="AJ34" s="71">
        <f>-SUM(AJ36:AJ39)</f>
        <v>-1868114.8784443194</v>
      </c>
      <c r="AK34" s="71">
        <f>-SUM(AK36:AK39)</f>
        <v>-1786695.7101885076</v>
      </c>
      <c r="AL34" s="280">
        <f>-SUM(AL36:AL39)</f>
        <v>-1100735.5360324418</v>
      </c>
      <c r="AM34" s="328"/>
      <c r="AP34" s="462" t="s">
        <v>193</v>
      </c>
      <c r="AQ34" s="461"/>
    </row>
    <row r="35" spans="1:43" s="2" customFormat="1" ht="13.5" customHeight="1">
      <c r="A35" s="4"/>
      <c r="B35" s="14"/>
      <c r="C35" s="4"/>
      <c r="D35" s="278"/>
      <c r="J35" s="94" t="s">
        <v>87</v>
      </c>
      <c r="K35" s="9">
        <v>0</v>
      </c>
      <c r="L35" s="9">
        <v>1</v>
      </c>
      <c r="M35" s="9">
        <v>2</v>
      </c>
      <c r="N35" s="9" t="s">
        <v>0</v>
      </c>
      <c r="T35" s="389" t="s">
        <v>168</v>
      </c>
      <c r="U35" s="394" t="s">
        <v>173</v>
      </c>
      <c r="V35" s="241" t="s">
        <v>2</v>
      </c>
      <c r="W35" s="241" t="s">
        <v>3</v>
      </c>
      <c r="X35" s="241" t="s">
        <v>4</v>
      </c>
      <c r="Y35" s="241" t="s">
        <v>0</v>
      </c>
      <c r="AG35" s="49" t="s">
        <v>161</v>
      </c>
      <c r="AH35" s="304" t="s">
        <v>162</v>
      </c>
      <c r="AI35" s="241" t="s">
        <v>2</v>
      </c>
      <c r="AJ35" s="241" t="s">
        <v>3</v>
      </c>
      <c r="AK35" s="241" t="s">
        <v>4</v>
      </c>
      <c r="AL35" s="241" t="s">
        <v>0</v>
      </c>
      <c r="AM35" s="328"/>
      <c r="AP35" s="463" t="s">
        <v>213</v>
      </c>
      <c r="AQ35" s="461"/>
    </row>
    <row r="36" spans="1:43" s="2" customFormat="1" ht="13.5" customHeight="1">
      <c r="A36" s="4"/>
      <c r="B36" s="4"/>
      <c r="C36" s="14"/>
      <c r="I36" s="169"/>
      <c r="J36" s="339" t="s">
        <v>2</v>
      </c>
      <c r="K36" s="423">
        <v>34862.94203808329</v>
      </c>
      <c r="L36" s="50">
        <v>-334.7589927046083</v>
      </c>
      <c r="M36" s="51">
        <v>-803.916525039675</v>
      </c>
      <c r="N36" s="51">
        <v>-2922</v>
      </c>
      <c r="O36" s="9" t="s">
        <v>2</v>
      </c>
      <c r="T36" s="384">
        <f>-SUM(T37:T39)</f>
        <v>-2273867.3843982364</v>
      </c>
      <c r="U36" s="9" t="s">
        <v>2</v>
      </c>
      <c r="V36" s="230">
        <f>-V34-SUM(V37:V39)</f>
        <v>-526320.2041551459</v>
      </c>
      <c r="W36" s="395">
        <f>W6*AI29</f>
        <v>299511.6979695697</v>
      </c>
      <c r="X36" s="396">
        <f>X6*AI30</f>
        <v>260525.8197411067</v>
      </c>
      <c r="Y36" s="396">
        <f>Y6*AI31</f>
        <v>0</v>
      </c>
      <c r="Z36" s="9" t="s">
        <v>2</v>
      </c>
      <c r="AG36" s="52">
        <f>-SUM(AG37:AG39)</f>
        <v>-4755546.124665269</v>
      </c>
      <c r="AH36" s="9" t="s">
        <v>2</v>
      </c>
      <c r="AI36" s="52">
        <f>-AI34-SUM(AI37:AI39)</f>
        <v>-1100735.536032442</v>
      </c>
      <c r="AJ36" s="73">
        <f>W6*AG29</f>
        <v>626337.7501976769</v>
      </c>
      <c r="AK36" s="74">
        <f>X6*AG30</f>
        <v>544918.5819418652</v>
      </c>
      <c r="AL36" s="74">
        <f>Y6*AG31</f>
        <v>0</v>
      </c>
      <c r="AM36" s="9" t="s">
        <v>2</v>
      </c>
      <c r="AP36" s="323"/>
      <c r="AQ36" s="173" t="s">
        <v>2</v>
      </c>
    </row>
    <row r="37" spans="1:43" s="2" customFormat="1" ht="13.5" customHeight="1">
      <c r="A37" s="4"/>
      <c r="B37" s="4"/>
      <c r="C37" s="4"/>
      <c r="I37" s="214"/>
      <c r="J37" s="339" t="s">
        <v>3</v>
      </c>
      <c r="K37" s="424">
        <v>-13146.181602524599</v>
      </c>
      <c r="L37" s="56">
        <v>164.44888510534463</v>
      </c>
      <c r="M37" s="57">
        <v>170.7736146804099</v>
      </c>
      <c r="N37" s="57">
        <v>313.2352340759904</v>
      </c>
      <c r="O37" s="241" t="s">
        <v>3</v>
      </c>
      <c r="T37" s="390">
        <f>T7*$AI29</f>
        <v>1198046.7918782788</v>
      </c>
      <c r="U37" s="241" t="s">
        <v>3</v>
      </c>
      <c r="V37" s="385">
        <f aca="true" t="shared" si="5" ref="V37:Y39">V7*$AI29</f>
        <v>-898535.0939087091</v>
      </c>
      <c r="W37" s="397">
        <f t="shared" si="5"/>
        <v>299511.6979695697</v>
      </c>
      <c r="X37" s="398">
        <f t="shared" si="5"/>
        <v>299511.6979695697</v>
      </c>
      <c r="Y37" s="398">
        <f t="shared" si="5"/>
        <v>299511.6979695697</v>
      </c>
      <c r="Z37" s="241" t="s">
        <v>3</v>
      </c>
      <c r="AG37" s="68">
        <f>T7*$AG29</f>
        <v>2505351.0007907078</v>
      </c>
      <c r="AH37" s="241" t="s">
        <v>3</v>
      </c>
      <c r="AI37" s="254">
        <f aca="true" t="shared" si="6" ref="AI37:AL39">V7*$AG29</f>
        <v>-1879013.2505930308</v>
      </c>
      <c r="AJ37" s="255">
        <f t="shared" si="6"/>
        <v>626337.7501976769</v>
      </c>
      <c r="AK37" s="256">
        <f t="shared" si="6"/>
        <v>626337.7501976769</v>
      </c>
      <c r="AL37" s="256">
        <f t="shared" si="6"/>
        <v>626337.7501976769</v>
      </c>
      <c r="AM37" s="241" t="s">
        <v>3</v>
      </c>
      <c r="AP37" s="473">
        <f>(AI61+AI87)/V7</f>
        <v>626310.0758655627</v>
      </c>
      <c r="AQ37" s="474" t="s">
        <v>3</v>
      </c>
    </row>
    <row r="38" spans="1:43" s="2" customFormat="1" ht="13.5" customHeight="1">
      <c r="A38" s="4"/>
      <c r="B38" s="4"/>
      <c r="C38" s="4"/>
      <c r="D38" s="224"/>
      <c r="E38" s="335" t="s">
        <v>138</v>
      </c>
      <c r="I38" s="214"/>
      <c r="J38" s="339" t="s">
        <v>4</v>
      </c>
      <c r="K38" s="425">
        <v>-12682.216668549252</v>
      </c>
      <c r="L38" s="215">
        <v>103.52606559902665</v>
      </c>
      <c r="M38" s="216">
        <v>280.6327641769046</v>
      </c>
      <c r="N38" s="217">
        <v>338.92036427252924</v>
      </c>
      <c r="O38" s="241" t="s">
        <v>4</v>
      </c>
      <c r="T38" s="390">
        <f>T8*$AI30</f>
        <v>1042103.2789644268</v>
      </c>
      <c r="U38" s="241" t="s">
        <v>4</v>
      </c>
      <c r="V38" s="386">
        <f t="shared" si="5"/>
        <v>-781577.4592233201</v>
      </c>
      <c r="W38" s="399">
        <f t="shared" si="5"/>
        <v>260525.8197411067</v>
      </c>
      <c r="X38" s="400">
        <f t="shared" si="5"/>
        <v>260525.8197411067</v>
      </c>
      <c r="Y38" s="401">
        <f t="shared" si="5"/>
        <v>260525.8197411067</v>
      </c>
      <c r="Z38" s="241" t="s">
        <v>4</v>
      </c>
      <c r="AG38" s="68">
        <f>T8*$AG30</f>
        <v>2179674.3277674606</v>
      </c>
      <c r="AH38" s="241" t="s">
        <v>4</v>
      </c>
      <c r="AI38" s="257">
        <f t="shared" si="6"/>
        <v>-1634755.7458255955</v>
      </c>
      <c r="AJ38" s="258">
        <f t="shared" si="6"/>
        <v>544918.5819418652</v>
      </c>
      <c r="AK38" s="259">
        <f t="shared" si="6"/>
        <v>544918.5819418652</v>
      </c>
      <c r="AL38" s="260">
        <f t="shared" si="6"/>
        <v>544918.5819418652</v>
      </c>
      <c r="AM38" s="241" t="s">
        <v>4</v>
      </c>
      <c r="AP38" s="473">
        <f>(AI62+AI88)/V8</f>
        <v>544920.2599729603</v>
      </c>
      <c r="AQ38" s="474" t="s">
        <v>4</v>
      </c>
    </row>
    <row r="39" spans="1:43" s="2" customFormat="1" ht="13.5" customHeight="1" thickBot="1">
      <c r="A39" s="4"/>
      <c r="B39" s="4"/>
      <c r="C39" s="4"/>
      <c r="D39" s="277"/>
      <c r="E39" s="336" t="s">
        <v>139</v>
      </c>
      <c r="I39" s="226">
        <v>-40520.670168026714</v>
      </c>
      <c r="J39" s="339" t="s">
        <v>0</v>
      </c>
      <c r="K39" s="426">
        <v>-9034.54376700944</v>
      </c>
      <c r="L39" s="218">
        <v>66.78404200023658</v>
      </c>
      <c r="M39" s="219">
        <v>352.5101461823602</v>
      </c>
      <c r="N39" s="220">
        <v>2269.84440165148</v>
      </c>
      <c r="O39" s="9" t="s">
        <v>0</v>
      </c>
      <c r="T39" s="391">
        <f>T9*$AI31</f>
        <v>33717.31355553057</v>
      </c>
      <c r="U39" s="241" t="s">
        <v>0</v>
      </c>
      <c r="V39" s="387">
        <f t="shared" si="5"/>
        <v>-67434.62711106114</v>
      </c>
      <c r="W39" s="402">
        <f t="shared" si="5"/>
        <v>33717.31355553057</v>
      </c>
      <c r="X39" s="403">
        <f t="shared" si="5"/>
        <v>33717.31355553057</v>
      </c>
      <c r="Y39" s="404">
        <f t="shared" si="5"/>
        <v>-33717.31355553057</v>
      </c>
      <c r="Z39" s="9" t="s">
        <v>0</v>
      </c>
      <c r="AG39" s="227">
        <f>T9*$AG31</f>
        <v>70520.79610710034</v>
      </c>
      <c r="AH39" s="241" t="s">
        <v>0</v>
      </c>
      <c r="AI39" s="88">
        <f t="shared" si="6"/>
        <v>-141041.59221420067</v>
      </c>
      <c r="AJ39" s="89">
        <f t="shared" si="6"/>
        <v>70520.79610710034</v>
      </c>
      <c r="AK39" s="90">
        <f t="shared" si="6"/>
        <v>70520.79610710034</v>
      </c>
      <c r="AL39" s="91">
        <f t="shared" si="6"/>
        <v>-70520.79610710034</v>
      </c>
      <c r="AM39" s="9" t="s">
        <v>0</v>
      </c>
      <c r="AP39" s="473">
        <f>(AI63+AI89)/V9</f>
        <v>70557.05386230364</v>
      </c>
      <c r="AQ39" s="474" t="s">
        <v>0</v>
      </c>
    </row>
    <row r="40" spans="1:43" s="2" customFormat="1" ht="13.5" customHeight="1">
      <c r="A40" s="4"/>
      <c r="B40" s="14"/>
      <c r="C40" s="4"/>
      <c r="D40" s="224"/>
      <c r="F40" s="224"/>
      <c r="AQ40" s="420"/>
    </row>
    <row r="41" spans="1:21" s="2" customFormat="1" ht="13.5" customHeight="1">
      <c r="A41" s="4"/>
      <c r="B41" s="4"/>
      <c r="C41" s="4"/>
      <c r="D41" s="224"/>
      <c r="F41" s="224"/>
      <c r="U41" s="405" t="s">
        <v>145</v>
      </c>
    </row>
    <row r="42" spans="1:32" s="2" customFormat="1" ht="13.5" customHeight="1" thickBot="1">
      <c r="A42" s="4"/>
      <c r="B42" s="4"/>
      <c r="C42" s="4"/>
      <c r="D42" s="224"/>
      <c r="F42" s="224"/>
      <c r="I42" s="226"/>
      <c r="K42" s="43">
        <v>0</v>
      </c>
      <c r="L42" s="44">
        <v>0</v>
      </c>
      <c r="M42" s="44">
        <v>0</v>
      </c>
      <c r="N42" s="309">
        <v>0</v>
      </c>
      <c r="T42" s="393">
        <f>SUM(T37:T39)</f>
        <v>2273867.3843982364</v>
      </c>
      <c r="U42" s="406" t="s">
        <v>11</v>
      </c>
      <c r="V42" s="349">
        <f>SUM(V37:V39)</f>
        <v>-1747547.1802430905</v>
      </c>
      <c r="W42" s="392">
        <f>SUM(W37:W39)</f>
        <v>593754.831266207</v>
      </c>
      <c r="X42" s="392">
        <f>SUM(X37:X39)</f>
        <v>593754.831266207</v>
      </c>
      <c r="Y42" s="307">
        <f>SUM(Y37:Y38)</f>
        <v>560037.5177106764</v>
      </c>
      <c r="AF42" s="331" t="s">
        <v>132</v>
      </c>
    </row>
    <row r="43" spans="1:43" s="2" customFormat="1" ht="13.5" customHeight="1" thickBot="1">
      <c r="A43" s="4"/>
      <c r="B43" s="4"/>
      <c r="C43" s="4"/>
      <c r="J43" s="94" t="s">
        <v>72</v>
      </c>
      <c r="K43" s="9">
        <v>0</v>
      </c>
      <c r="L43" s="9">
        <v>1</v>
      </c>
      <c r="M43" s="9">
        <v>2</v>
      </c>
      <c r="N43" s="9" t="s">
        <v>0</v>
      </c>
      <c r="V43" s="9">
        <v>0</v>
      </c>
      <c r="W43" s="9">
        <v>1</v>
      </c>
      <c r="X43" s="9">
        <v>2</v>
      </c>
      <c r="Y43" s="9" t="s">
        <v>0</v>
      </c>
      <c r="AF43" s="331" t="s">
        <v>118</v>
      </c>
      <c r="AI43" s="72">
        <f>AI34/AI18</f>
        <v>2.0913913836259224</v>
      </c>
      <c r="AJ43" s="47">
        <f>AJ34/AJ18</f>
        <v>902.8159478762611</v>
      </c>
      <c r="AK43" s="47">
        <f>AK34/AK18</f>
        <v>109.54375000468553</v>
      </c>
      <c r="AL43" s="310">
        <f>AL34/AL18</f>
        <v>20.455211961572278</v>
      </c>
      <c r="AP43" s="464" t="s">
        <v>193</v>
      </c>
      <c r="AQ43" s="465" t="s">
        <v>214</v>
      </c>
    </row>
    <row r="44" spans="1:43" s="2" customFormat="1" ht="13.5" customHeight="1">
      <c r="A44" s="4"/>
      <c r="B44" s="4"/>
      <c r="C44" s="4"/>
      <c r="D44" s="277"/>
      <c r="I44" s="169"/>
      <c r="J44" s="339" t="s">
        <v>2</v>
      </c>
      <c r="K44" s="423">
        <v>34862.94203808329</v>
      </c>
      <c r="L44" s="50">
        <v>-334.5869858144144</v>
      </c>
      <c r="M44" s="51">
        <v>-803.8623804516765</v>
      </c>
      <c r="N44" s="51">
        <v>-2922</v>
      </c>
      <c r="O44" s="9" t="s">
        <v>2</v>
      </c>
      <c r="AH44" s="451" t="s">
        <v>200</v>
      </c>
      <c r="AI44" s="241" t="s">
        <v>2</v>
      </c>
      <c r="AJ44" s="241" t="s">
        <v>3</v>
      </c>
      <c r="AK44" s="9">
        <v>2</v>
      </c>
      <c r="AL44" s="241" t="s">
        <v>0</v>
      </c>
      <c r="AN44" s="42" t="s">
        <v>59</v>
      </c>
      <c r="AP44" s="466" t="s">
        <v>215</v>
      </c>
      <c r="AQ44" s="461"/>
    </row>
    <row r="45" spans="1:43" s="2" customFormat="1" ht="13.5" customHeight="1" thickBot="1">
      <c r="A45" s="4"/>
      <c r="B45" s="4"/>
      <c r="C45" s="4"/>
      <c r="D45" s="224"/>
      <c r="I45" s="214"/>
      <c r="J45" s="339" t="s">
        <v>3</v>
      </c>
      <c r="K45" s="424">
        <v>-13146.283908181167</v>
      </c>
      <c r="L45" s="56">
        <v>164.30247215197463</v>
      </c>
      <c r="M45" s="57">
        <v>170.79035361782738</v>
      </c>
      <c r="N45" s="57">
        <v>313.245724516704</v>
      </c>
      <c r="O45" s="241" t="s">
        <v>3</v>
      </c>
      <c r="T45" s="282">
        <f>-T86</f>
        <v>0</v>
      </c>
      <c r="U45" s="62" t="s">
        <v>190</v>
      </c>
      <c r="V45" s="486">
        <f>-V86</f>
        <v>-104588.82611424987</v>
      </c>
      <c r="W45" s="444">
        <f>AA21</f>
        <v>100.49127955059839</v>
      </c>
      <c r="X45" s="444">
        <f>AA22</f>
        <v>804.0122395099934</v>
      </c>
      <c r="Y45" s="307">
        <f>AL6</f>
        <v>8766</v>
      </c>
      <c r="AA45" s="299" t="s">
        <v>189</v>
      </c>
      <c r="AF45" s="372" t="s">
        <v>191</v>
      </c>
      <c r="AG45" s="286">
        <f>AG36/AG20</f>
        <v>1.0000000000000002</v>
      </c>
      <c r="AH45" s="9" t="s">
        <v>2</v>
      </c>
      <c r="AI45" s="286">
        <f aca="true" t="shared" si="7" ref="AI45:AK48">AI36/AI20</f>
        <v>2.0913809842621043</v>
      </c>
      <c r="AJ45" s="374">
        <f t="shared" si="7"/>
        <v>902.7731207491402</v>
      </c>
      <c r="AK45" s="375">
        <f t="shared" si="7"/>
        <v>109.53370618970456</v>
      </c>
      <c r="AL45" s="174"/>
      <c r="AM45" s="9" t="s">
        <v>2</v>
      </c>
      <c r="AN45" s="63"/>
      <c r="AP45" s="323"/>
      <c r="AQ45" s="173" t="s">
        <v>2</v>
      </c>
    </row>
    <row r="46" spans="1:43" s="2" customFormat="1" ht="13.5" customHeight="1">
      <c r="A46" s="4"/>
      <c r="B46" s="4"/>
      <c r="C46" s="4"/>
      <c r="D46" s="224"/>
      <c r="I46" s="214"/>
      <c r="J46" s="339" t="s">
        <v>4</v>
      </c>
      <c r="K46" s="425">
        <v>-12682.211429359628</v>
      </c>
      <c r="L46" s="215">
        <v>103.48088198729032</v>
      </c>
      <c r="M46" s="216">
        <v>280.6092052426282</v>
      </c>
      <c r="N46" s="217">
        <v>338.92346808585245</v>
      </c>
      <c r="O46" s="241" t="s">
        <v>4</v>
      </c>
      <c r="V46" s="9">
        <v>0</v>
      </c>
      <c r="W46" s="9">
        <v>1</v>
      </c>
      <c r="X46" s="9">
        <v>2</v>
      </c>
      <c r="Y46" s="9" t="s">
        <v>0</v>
      </c>
      <c r="AG46" s="64">
        <f>AG37/AG21</f>
        <v>1.0000284925431682</v>
      </c>
      <c r="AH46" s="9" t="s">
        <v>3</v>
      </c>
      <c r="AI46" s="65">
        <f>AI37/AI21</f>
        <v>2.091517057982138</v>
      </c>
      <c r="AJ46" s="79">
        <f t="shared" si="7"/>
        <v>903.0054838261943</v>
      </c>
      <c r="AK46" s="80">
        <f t="shared" si="7"/>
        <v>109.54812908587205</v>
      </c>
      <c r="AL46" s="80">
        <f>AL37/AL21</f>
        <v>20.453544515721152</v>
      </c>
      <c r="AM46" s="241" t="s">
        <v>3</v>
      </c>
      <c r="AN46" s="268">
        <f>AJ53</f>
        <v>902.8350860979259</v>
      </c>
      <c r="AP46" s="473">
        <f>(AN46*AN7*AN61)^AA7</f>
        <v>626316.1584917691</v>
      </c>
      <c r="AQ46" s="474" t="s">
        <v>3</v>
      </c>
    </row>
    <row r="47" spans="1:43" s="2" customFormat="1" ht="13.5" customHeight="1" thickBot="1">
      <c r="A47" s="4"/>
      <c r="B47" s="4"/>
      <c r="C47" s="4"/>
      <c r="D47" s="224"/>
      <c r="I47" s="226">
        <v>-40485.732830134446</v>
      </c>
      <c r="J47" s="339" t="s">
        <v>0</v>
      </c>
      <c r="K47" s="426">
        <v>-9034.4467005425</v>
      </c>
      <c r="L47" s="218">
        <v>66.80363167514922</v>
      </c>
      <c r="M47" s="219">
        <v>352.4628215912209</v>
      </c>
      <c r="N47" s="220">
        <v>2269.830807397444</v>
      </c>
      <c r="O47" s="9" t="s">
        <v>0</v>
      </c>
      <c r="AF47" s="331" t="s">
        <v>119</v>
      </c>
      <c r="AG47" s="64">
        <f>AG38/AG22</f>
        <v>0.9999693649123487</v>
      </c>
      <c r="AH47" s="9" t="s">
        <v>4</v>
      </c>
      <c r="AI47" s="242">
        <f t="shared" si="7"/>
        <v>2.0914212611218272</v>
      </c>
      <c r="AJ47" s="261">
        <f t="shared" si="7"/>
        <v>902.861492856358</v>
      </c>
      <c r="AK47" s="262">
        <f t="shared" si="7"/>
        <v>109.55040217746028</v>
      </c>
      <c r="AL47" s="263">
        <f>AL38/AL22</f>
        <v>20.452760667896637</v>
      </c>
      <c r="AM47" s="241" t="s">
        <v>4</v>
      </c>
      <c r="AN47" s="268">
        <f>AK53</f>
        <v>109.5478589536273</v>
      </c>
      <c r="AP47" s="473">
        <f>(AN47*AN8*AN62)^AA8</f>
        <v>544932.1662404434</v>
      </c>
      <c r="AQ47" s="474" t="s">
        <v>4</v>
      </c>
    </row>
    <row r="48" spans="1:43" s="2" customFormat="1" ht="13.5" customHeight="1" thickBot="1">
      <c r="A48" s="4"/>
      <c r="B48" s="4"/>
      <c r="C48" s="4"/>
      <c r="D48" s="224"/>
      <c r="T48" s="282">
        <f>T45+T14</f>
        <v>0</v>
      </c>
      <c r="U48" s="94" t="s">
        <v>49</v>
      </c>
      <c r="V48" s="485">
        <f>-GPE!E10</f>
        <v>-104588.82611424987</v>
      </c>
      <c r="W48" s="6">
        <f>W45+W14-W84</f>
        <v>100.49127955059843</v>
      </c>
      <c r="X48" s="6">
        <f>X45+X14-X84</f>
        <v>804.0122395099934</v>
      </c>
      <c r="Y48" s="307">
        <f>Y45+AA23+Y14-Y84</f>
        <v>1956.3888640737187</v>
      </c>
      <c r="AA48" s="7" t="s">
        <v>124</v>
      </c>
      <c r="AF48" s="331" t="s">
        <v>131</v>
      </c>
      <c r="AG48" s="246">
        <f>AG39/AG23</f>
        <v>0.99993470114574</v>
      </c>
      <c r="AH48" s="9" t="s">
        <v>0</v>
      </c>
      <c r="AI48" s="192">
        <f t="shared" si="7"/>
        <v>2.0906856446293443</v>
      </c>
      <c r="AJ48" s="264">
        <f t="shared" si="7"/>
        <v>901.9526767069676</v>
      </c>
      <c r="AK48" s="265">
        <f t="shared" si="7"/>
        <v>109.54760677084064</v>
      </c>
      <c r="AL48" s="376">
        <f>AL39/AL23</f>
        <v>20.42197648702614</v>
      </c>
      <c r="AM48" s="241" t="s">
        <v>0</v>
      </c>
      <c r="AN48" s="373">
        <f>-AL53</f>
        <v>-20.45323063095858</v>
      </c>
      <c r="AP48" s="473">
        <f>(AN48*AN9*AN63)^AA9</f>
        <v>70579.80915839902</v>
      </c>
      <c r="AQ48" s="474" t="s">
        <v>0</v>
      </c>
    </row>
    <row r="49" spans="1:25" s="2" customFormat="1" ht="13.5" customHeight="1">
      <c r="A49" s="4"/>
      <c r="B49" s="4"/>
      <c r="C49" s="4"/>
      <c r="D49" s="224"/>
      <c r="I49" s="432" t="s">
        <v>195</v>
      </c>
      <c r="V49" s="9">
        <v>0</v>
      </c>
      <c r="W49" s="9">
        <v>1</v>
      </c>
      <c r="X49" s="9">
        <v>2</v>
      </c>
      <c r="Y49" s="9" t="s">
        <v>0</v>
      </c>
    </row>
    <row r="50" spans="1:14" s="2" customFormat="1" ht="13.5" customHeight="1" thickBot="1">
      <c r="A50" s="4"/>
      <c r="B50" s="4"/>
      <c r="C50" s="4"/>
      <c r="D50" s="224"/>
      <c r="G50" s="452" t="s">
        <v>206</v>
      </c>
      <c r="I50" s="48">
        <v>6.487906931476178</v>
      </c>
      <c r="N50" s="446">
        <v>-10262.792866494889</v>
      </c>
    </row>
    <row r="51" spans="1:7" s="2" customFormat="1" ht="13.5" customHeight="1">
      <c r="A51" s="4"/>
      <c r="B51" s="4"/>
      <c r="C51" s="4"/>
      <c r="G51" s="328"/>
    </row>
    <row r="52" spans="1:38" s="2" customFormat="1" ht="13.5" customHeight="1">
      <c r="A52" s="4"/>
      <c r="B52" s="4"/>
      <c r="C52" s="4"/>
      <c r="D52" s="224"/>
      <c r="G52" s="328"/>
      <c r="R52" s="412" t="s">
        <v>66</v>
      </c>
      <c r="T52" s="470">
        <v>0.5</v>
      </c>
      <c r="V52" s="470">
        <f>GPE!E18/GPE!$E18</f>
        <v>1</v>
      </c>
      <c r="W52" s="472">
        <f>GPE!F18/GPE!$E18</f>
        <v>441.93345888261155</v>
      </c>
      <c r="X52" s="472">
        <f>GPE!G18/GPE!$E18</f>
        <v>53.86064030131828</v>
      </c>
      <c r="Y52" s="472">
        <f>GPE!H18/GPE!$E18</f>
        <v>10</v>
      </c>
      <c r="AG52" s="470">
        <v>1</v>
      </c>
      <c r="AI52" s="470">
        <f>GPE!E18</f>
        <v>2</v>
      </c>
      <c r="AJ52" s="472">
        <f>GPE!F18</f>
        <v>883.8669177652231</v>
      </c>
      <c r="AK52" s="472">
        <f>GPE!G18</f>
        <v>107.72128060263655</v>
      </c>
      <c r="AL52" s="472">
        <f>GPE!H18</f>
        <v>20</v>
      </c>
    </row>
    <row r="53" spans="1:38" s="2" customFormat="1" ht="13.5" customHeight="1" thickBot="1">
      <c r="A53" s="4"/>
      <c r="B53" s="4"/>
      <c r="C53" s="4"/>
      <c r="D53" s="224"/>
      <c r="G53" s="455" t="s">
        <v>207</v>
      </c>
      <c r="I53" s="29">
        <f>K53/K57-V0</f>
        <v>0.1033804593685943</v>
      </c>
      <c r="K53" s="436">
        <f>-SUM(L53:N53)</f>
        <v>-85495.65319810461</v>
      </c>
      <c r="L53" s="6">
        <f>W53*W45</f>
        <v>43381.19289171901</v>
      </c>
      <c r="M53" s="6">
        <f>X53*X45</f>
        <v>42114.4603063856</v>
      </c>
      <c r="N53" s="307"/>
      <c r="P53" s="458" t="s">
        <v>209</v>
      </c>
      <c r="S53" s="413" t="s">
        <v>174</v>
      </c>
      <c r="T53" s="468">
        <f>T60/(AG36-T20)</f>
        <v>0.4781505785235966</v>
      </c>
      <c r="U53" s="42" t="s">
        <v>175</v>
      </c>
      <c r="V53" s="72">
        <f>V42/(AI14+V48)</f>
        <v>1.0000227583162822</v>
      </c>
      <c r="W53" s="47">
        <f>W42/(AJ14+W48)</f>
        <v>431.69111872912447</v>
      </c>
      <c r="X53" s="47">
        <f>X42/(AK14+X48)</f>
        <v>52.380372134698256</v>
      </c>
      <c r="Y53" s="310">
        <f>Y42/(AL14+Y48)</f>
        <v>9.779724058869393</v>
      </c>
      <c r="AA53" s="288" t="s">
        <v>181</v>
      </c>
      <c r="AF53" s="331" t="s">
        <v>157</v>
      </c>
      <c r="AG53" s="48">
        <f>P0*Chi</f>
        <v>0.9999999999999999</v>
      </c>
      <c r="AH53" s="94" t="s">
        <v>81</v>
      </c>
      <c r="AI53" s="72">
        <f>AI34/(V58+V19)</f>
        <v>2.0913913836259224</v>
      </c>
      <c r="AJ53" s="47">
        <f>P0*W53</f>
        <v>902.8350860979259</v>
      </c>
      <c r="AK53" s="47">
        <f>P0*X53</f>
        <v>109.5478589536273</v>
      </c>
      <c r="AL53" s="310">
        <f>P0*Y53</f>
        <v>20.45323063095858</v>
      </c>
    </row>
    <row r="54" spans="1:38" s="2" customFormat="1" ht="13.5" customHeight="1">
      <c r="A54" s="4"/>
      <c r="B54" s="4"/>
      <c r="C54" s="4"/>
      <c r="I54" s="470">
        <f>GPE!C18</f>
        <v>0.1</v>
      </c>
      <c r="J54" s="328"/>
      <c r="K54" s="9">
        <v>0</v>
      </c>
      <c r="L54" s="9">
        <v>1</v>
      </c>
      <c r="M54" s="9">
        <v>2</v>
      </c>
      <c r="N54" s="9" t="s">
        <v>0</v>
      </c>
      <c r="R54" s="11" t="s">
        <v>169</v>
      </c>
      <c r="T54" s="175" t="s">
        <v>82</v>
      </c>
      <c r="V54" s="9">
        <v>0</v>
      </c>
      <c r="W54" s="9">
        <v>1</v>
      </c>
      <c r="X54" s="9">
        <v>2</v>
      </c>
      <c r="Y54" s="9" t="s">
        <v>0</v>
      </c>
      <c r="AA54" s="418" t="s">
        <v>178</v>
      </c>
      <c r="AE54" s="407" t="s">
        <v>134</v>
      </c>
      <c r="AG54" s="302" t="s">
        <v>112</v>
      </c>
      <c r="AI54" s="9">
        <v>0</v>
      </c>
      <c r="AJ54" s="9">
        <v>1</v>
      </c>
      <c r="AK54" s="9">
        <v>2</v>
      </c>
      <c r="AL54" s="9" t="s">
        <v>0</v>
      </c>
    </row>
    <row r="55" spans="1:3" s="2" customFormat="1" ht="13.5" customHeight="1">
      <c r="A55" s="4"/>
      <c r="B55" s="4"/>
      <c r="C55" s="4"/>
    </row>
    <row r="56" spans="1:11" s="2" customFormat="1" ht="13.5" customHeight="1">
      <c r="A56" s="4"/>
      <c r="B56" s="4"/>
      <c r="C56" s="4"/>
      <c r="G56" s="340" t="s">
        <v>165</v>
      </c>
      <c r="I56" s="470">
        <f>IState!E9</f>
        <v>0.5131581182307065</v>
      </c>
      <c r="K56" s="406" t="s">
        <v>63</v>
      </c>
    </row>
    <row r="57" spans="1:12" s="2" customFormat="1" ht="13.5" customHeight="1" thickBot="1">
      <c r="A57" s="4"/>
      <c r="B57" s="4"/>
      <c r="C57" s="4"/>
      <c r="D57" s="329"/>
      <c r="E57" s="328"/>
      <c r="F57" s="328"/>
      <c r="G57" s="429" t="s">
        <v>192</v>
      </c>
      <c r="I57" s="443">
        <f>(1-Nu/V0)^(-Term)</f>
        <v>0.5282047532615439</v>
      </c>
      <c r="J57" s="9" t="s">
        <v>2</v>
      </c>
      <c r="K57" s="438">
        <f>-SUM(K58:K60)</f>
        <v>-77485.19785009534</v>
      </c>
      <c r="L57" s="441" t="s">
        <v>198</v>
      </c>
    </row>
    <row r="58" spans="1:40" s="2" customFormat="1" ht="13.5" customHeight="1" thickBot="1">
      <c r="A58" s="4"/>
      <c r="B58" s="4"/>
      <c r="C58" s="4"/>
      <c r="D58" s="328"/>
      <c r="F58" s="328"/>
      <c r="J58" s="9" t="s">
        <v>3</v>
      </c>
      <c r="K58" s="439">
        <f>-K21</f>
        <v>39438.54855788486</v>
      </c>
      <c r="V58" s="417">
        <f>-SUM(W58:Y58)</f>
        <v>2273867.130704346</v>
      </c>
      <c r="W58" s="392">
        <f>W$53*AJ4</f>
        <v>-893259.1451083687</v>
      </c>
      <c r="X58" s="392">
        <f>X$53*AK4</f>
        <v>-854341.6323353908</v>
      </c>
      <c r="Y58" s="393">
        <f>Y$53*AL4</f>
        <v>-526266.3532605864</v>
      </c>
      <c r="AI58" s="344">
        <f>-SUM(AJ58:AL58)</f>
        <v>4755546.124665268</v>
      </c>
      <c r="AJ58" s="71">
        <f>AJ$53*AJ4</f>
        <v>-1868154.4794246997</v>
      </c>
      <c r="AK58" s="71">
        <f>AK$53*AK4</f>
        <v>-1786762.728539142</v>
      </c>
      <c r="AL58" s="280">
        <f>AL$53*AL4</f>
        <v>-1100628.9167014263</v>
      </c>
      <c r="AN58" s="362" t="s">
        <v>193</v>
      </c>
    </row>
    <row r="59" spans="1:40" s="2" customFormat="1" ht="13.5" customHeight="1">
      <c r="A59" s="4"/>
      <c r="B59" s="4"/>
      <c r="C59" s="4"/>
      <c r="D59" s="328"/>
      <c r="E59" s="328"/>
      <c r="F59" s="328"/>
      <c r="G59" s="427" t="s">
        <v>186</v>
      </c>
      <c r="I59" s="338" t="s">
        <v>143</v>
      </c>
      <c r="J59" s="9" t="s">
        <v>4</v>
      </c>
      <c r="K59" s="439">
        <f>-K22</f>
        <v>38046.64929221048</v>
      </c>
      <c r="T59" s="414" t="s">
        <v>167</v>
      </c>
      <c r="U59" s="414" t="s">
        <v>176</v>
      </c>
      <c r="V59" s="241" t="s">
        <v>2</v>
      </c>
      <c r="W59" s="241" t="s">
        <v>3</v>
      </c>
      <c r="X59" s="241">
        <v>2</v>
      </c>
      <c r="Y59" s="241" t="s">
        <v>0</v>
      </c>
      <c r="AG59" s="49" t="s">
        <v>1</v>
      </c>
      <c r="AH59" s="366" t="s">
        <v>116</v>
      </c>
      <c r="AI59" s="241" t="s">
        <v>2</v>
      </c>
      <c r="AJ59" s="241" t="s">
        <v>3</v>
      </c>
      <c r="AK59" s="241">
        <v>2</v>
      </c>
      <c r="AL59" s="241" t="s">
        <v>0</v>
      </c>
      <c r="AN59" s="363" t="s">
        <v>116</v>
      </c>
    </row>
    <row r="60" spans="1:40" s="2" customFormat="1" ht="13.5" customHeight="1" thickBot="1">
      <c r="A60" s="4"/>
      <c r="B60" s="4"/>
      <c r="C60" s="4"/>
      <c r="G60" s="428" t="s">
        <v>188</v>
      </c>
      <c r="I60" s="337">
        <f>1/(1+Nu*Kappa/Gamma*Term)</f>
        <v>0.52820586167973</v>
      </c>
      <c r="J60" s="9" t="s">
        <v>0</v>
      </c>
      <c r="K60" s="437"/>
      <c r="T60" s="384">
        <f>-SUM(T61:T63)</f>
        <v>-2273867.130704346</v>
      </c>
      <c r="U60" s="9" t="s">
        <v>2</v>
      </c>
      <c r="V60" s="230">
        <f>-V58-SUM(V61:V63)</f>
        <v>-630948.5469018458</v>
      </c>
      <c r="W60" s="395">
        <f aca="true" t="shared" si="8" ref="W60:Y63">W$53*AJ6</f>
        <v>342885.5067338805</v>
      </c>
      <c r="X60" s="396">
        <f t="shared" si="8"/>
        <v>302701.26137556933</v>
      </c>
      <c r="Y60" s="396">
        <f t="shared" si="8"/>
        <v>85729.06110004909</v>
      </c>
      <c r="Z60" s="9" t="s">
        <v>2</v>
      </c>
      <c r="AG60" s="52">
        <f>-SUM(AG61:AG63)</f>
        <v>-4755546.124665268</v>
      </c>
      <c r="AH60" s="9" t="s">
        <v>2</v>
      </c>
      <c r="AI60" s="230">
        <f>-AI58-SUM(AI61:AI63)</f>
        <v>-1319560.3545018164</v>
      </c>
      <c r="AJ60" s="73">
        <f aca="true" t="shared" si="9" ref="AJ60:AL63">AJ$53*AJ6</f>
        <v>717107.7943534459</v>
      </c>
      <c r="AK60" s="74">
        <f t="shared" si="9"/>
        <v>633066.809853564</v>
      </c>
      <c r="AL60" s="74">
        <f t="shared" si="9"/>
        <v>179293.01971098292</v>
      </c>
      <c r="AM60" s="9" t="s">
        <v>2</v>
      </c>
      <c r="AN60" s="286"/>
    </row>
    <row r="61" spans="1:40" s="2" customFormat="1" ht="13.5" customHeight="1">
      <c r="A61" s="4"/>
      <c r="B61" s="4"/>
      <c r="C61" s="4"/>
      <c r="T61" s="390">
        <f>W60-V61</f>
        <v>1201844.245170094</v>
      </c>
      <c r="U61" s="241" t="s">
        <v>3</v>
      </c>
      <c r="V61" s="385">
        <f>-SUM(W61:Y61)</f>
        <v>-858958.7384362135</v>
      </c>
      <c r="W61" s="397">
        <f t="shared" si="8"/>
        <v>278131.8389245119</v>
      </c>
      <c r="X61" s="398">
        <f t="shared" si="8"/>
        <v>290537.8035109681</v>
      </c>
      <c r="Y61" s="398">
        <f t="shared" si="8"/>
        <v>290289.0960007334</v>
      </c>
      <c r="Z61" s="241" t="s">
        <v>3</v>
      </c>
      <c r="AA61" s="415" t="s">
        <v>170</v>
      </c>
      <c r="AF61" s="330" t="s">
        <v>129</v>
      </c>
      <c r="AG61" s="68">
        <f>AJ60-AI61</f>
        <v>2513526.698809135</v>
      </c>
      <c r="AH61" s="241" t="s">
        <v>3</v>
      </c>
      <c r="AI61" s="254">
        <f>-SUM(AJ61:AL61)</f>
        <v>-1796418.9044556888</v>
      </c>
      <c r="AJ61" s="255">
        <f t="shared" si="9"/>
        <v>581682.5314387571</v>
      </c>
      <c r="AK61" s="256">
        <f t="shared" si="9"/>
        <v>607628.2588804399</v>
      </c>
      <c r="AL61" s="256">
        <f t="shared" si="9"/>
        <v>607108.1141364919</v>
      </c>
      <c r="AM61" s="241" t="s">
        <v>3</v>
      </c>
      <c r="AN61" s="364">
        <f>AJ61*AK61*AL61</f>
        <v>2.1458038607567606E+17</v>
      </c>
    </row>
    <row r="62" spans="1:40" s="2" customFormat="1" ht="13.5" customHeight="1">
      <c r="A62" s="4"/>
      <c r="B62" s="4"/>
      <c r="C62" s="4"/>
      <c r="T62" s="390">
        <f>X60-V62</f>
        <v>1046302.8511132717</v>
      </c>
      <c r="U62" s="241" t="s">
        <v>4</v>
      </c>
      <c r="V62" s="386">
        <f>-SUM(W62:Y62)</f>
        <v>-743601.5897377023</v>
      </c>
      <c r="W62" s="399">
        <f t="shared" si="8"/>
        <v>247138.63968517067</v>
      </c>
      <c r="X62" s="400">
        <f t="shared" si="8"/>
        <v>245847.47158507453</v>
      </c>
      <c r="Y62" s="401">
        <f t="shared" si="8"/>
        <v>250615.47846745714</v>
      </c>
      <c r="Z62" s="241" t="s">
        <v>4</v>
      </c>
      <c r="AA62" s="416" t="s">
        <v>177</v>
      </c>
      <c r="AF62" s="331" t="s">
        <v>122</v>
      </c>
      <c r="AG62" s="68">
        <f>AK60-AI62</f>
        <v>2188228.767481533</v>
      </c>
      <c r="AH62" s="241" t="s">
        <v>4</v>
      </c>
      <c r="AI62" s="257">
        <f>-SUM(AJ62:AL62)</f>
        <v>-1555161.9576279689</v>
      </c>
      <c r="AJ62" s="258">
        <f t="shared" si="9"/>
        <v>516863.6215985974</v>
      </c>
      <c r="AK62" s="259">
        <f t="shared" si="9"/>
        <v>514163.28375924367</v>
      </c>
      <c r="AL62" s="260">
        <f t="shared" si="9"/>
        <v>524135.0522701277</v>
      </c>
      <c r="AM62" s="241" t="s">
        <v>4</v>
      </c>
      <c r="AN62" s="364">
        <f>AJ62*AK62*AL62</f>
        <v>1.3929009404589189E+17</v>
      </c>
    </row>
    <row r="63" spans="1:40" s="2" customFormat="1" ht="13.5" customHeight="1" thickBot="1">
      <c r="A63" s="4"/>
      <c r="B63" s="4"/>
      <c r="C63" s="4"/>
      <c r="T63" s="252">
        <f>Y60+Y63-V63</f>
        <v>25720.03442098017</v>
      </c>
      <c r="U63" s="9" t="s">
        <v>0</v>
      </c>
      <c r="V63" s="267">
        <f>-SUM(W63:X63)</f>
        <v>-40358.25562858432</v>
      </c>
      <c r="W63" s="402">
        <f t="shared" si="8"/>
        <v>25103.159764805445</v>
      </c>
      <c r="X63" s="403">
        <f t="shared" si="8"/>
        <v>15255.095863778868</v>
      </c>
      <c r="Y63" s="404">
        <f t="shared" si="8"/>
        <v>-100367.28230765324</v>
      </c>
      <c r="Z63" s="9" t="s">
        <v>0</v>
      </c>
      <c r="AA63" s="415" t="s">
        <v>171</v>
      </c>
      <c r="AF63" s="330" t="s">
        <v>130</v>
      </c>
      <c r="AG63" s="252">
        <f>AL60+AL63-AI63</f>
        <v>53790.65837460008</v>
      </c>
      <c r="AH63" s="9" t="s">
        <v>0</v>
      </c>
      <c r="AI63" s="267">
        <f>-SUM(AJ63:AK63)</f>
        <v>-84404.90807979362</v>
      </c>
      <c r="AJ63" s="89">
        <f t="shared" si="9"/>
        <v>52500.53203389904</v>
      </c>
      <c r="AK63" s="90">
        <f t="shared" si="9"/>
        <v>31904.376045894573</v>
      </c>
      <c r="AL63" s="91">
        <f t="shared" si="9"/>
        <v>-209907.26941617645</v>
      </c>
      <c r="AM63" s="9" t="s">
        <v>0</v>
      </c>
      <c r="AN63" s="365">
        <f>AJ63*AK63</f>
        <v>1674996716.6190493</v>
      </c>
    </row>
    <row r="64" spans="1:35" s="2" customFormat="1" ht="13.5" customHeight="1">
      <c r="A64" s="4"/>
      <c r="B64" s="4"/>
      <c r="C64" s="4"/>
      <c r="AI64" s="343" t="s">
        <v>193</v>
      </c>
    </row>
    <row r="65" spans="1:35" s="2" customFormat="1" ht="13.5" customHeight="1">
      <c r="A65" s="4"/>
      <c r="B65" s="4"/>
      <c r="C65" s="4"/>
      <c r="AI65" s="345" t="s">
        <v>144</v>
      </c>
    </row>
    <row r="66" spans="1:3" s="2" customFormat="1" ht="13.5" customHeight="1">
      <c r="A66" s="4"/>
      <c r="B66" s="4"/>
      <c r="C66" s="4"/>
    </row>
    <row r="67" spans="1:3" s="2" customFormat="1" ht="13.5" customHeight="1">
      <c r="A67" s="4"/>
      <c r="B67" s="4"/>
      <c r="C67" s="4"/>
    </row>
    <row r="68" spans="1:38" s="2" customFormat="1" ht="13.5" customHeight="1" thickBot="1">
      <c r="A68" s="4"/>
      <c r="B68" s="4"/>
      <c r="C68" s="4"/>
      <c r="V68" s="349">
        <f>AI68/AI$53-V58</f>
        <v>268.4933911249973</v>
      </c>
      <c r="W68" s="6">
        <f>AJ68/AJ$53-AJ4</f>
        <v>-0.24890040718128148</v>
      </c>
      <c r="X68" s="6">
        <f>AK68/AK$53-AK4</f>
        <v>-2.051304541173522</v>
      </c>
      <c r="Y68" s="281">
        <f>AL68/AL$53-AL4</f>
        <v>-5.48044099672552</v>
      </c>
      <c r="AG68" s="280">
        <f>-AI68</f>
        <v>-4756107.649430028</v>
      </c>
      <c r="AI68" s="70">
        <f>-SUM(AJ68:AL68)</f>
        <v>4756107.649430028</v>
      </c>
      <c r="AJ68" s="71">
        <f>-SUM(AJ70:AJ73)</f>
        <v>-1868379.195445247</v>
      </c>
      <c r="AK68" s="71">
        <f>-SUM(AK70:AK73)</f>
        <v>-1786987.4445596896</v>
      </c>
      <c r="AL68" s="280">
        <f>-SUM(AL70:AL73)</f>
        <v>-1100741.0094250916</v>
      </c>
    </row>
    <row r="69" spans="1:38" s="2" customFormat="1" ht="13.5" customHeight="1">
      <c r="A69" s="4"/>
      <c r="B69" s="4"/>
      <c r="C69" s="4"/>
      <c r="I69" s="10"/>
      <c r="T69" s="450" t="s">
        <v>220</v>
      </c>
      <c r="U69" s="94" t="s">
        <v>11</v>
      </c>
      <c r="V69" s="9" t="s">
        <v>2</v>
      </c>
      <c r="W69" s="9" t="s">
        <v>3</v>
      </c>
      <c r="X69" s="9" t="s">
        <v>4</v>
      </c>
      <c r="Y69" s="9" t="s">
        <v>0</v>
      </c>
      <c r="AG69" s="49" t="s">
        <v>22</v>
      </c>
      <c r="AH69" s="304" t="s">
        <v>91</v>
      </c>
      <c r="AI69" s="241" t="s">
        <v>2</v>
      </c>
      <c r="AJ69" s="241" t="s">
        <v>3</v>
      </c>
      <c r="AK69" s="241">
        <v>2</v>
      </c>
      <c r="AL69" s="241" t="s">
        <v>0</v>
      </c>
    </row>
    <row r="70" spans="1:39" s="2" customFormat="1" ht="13.5" customHeight="1">
      <c r="A70" s="4"/>
      <c r="B70" s="4"/>
      <c r="C70" s="4"/>
      <c r="I70" s="355"/>
      <c r="J70" s="9" t="s">
        <v>2</v>
      </c>
      <c r="T70" s="52">
        <f>AG70/AG$53-AG60</f>
        <v>-561.5247647613287</v>
      </c>
      <c r="U70" s="9" t="s">
        <v>2</v>
      </c>
      <c r="V70" s="384">
        <f>AI70/AI$53-V60</f>
        <v>104628.59644059034</v>
      </c>
      <c r="W70" s="54">
        <f aca="true" t="shared" si="10" ref="W70:Y73">AJ70/AJ$53-AJ6</f>
        <v>-100.49127955059839</v>
      </c>
      <c r="X70" s="55">
        <f t="shared" si="10"/>
        <v>-804.0122395099943</v>
      </c>
      <c r="Y70" s="55">
        <f t="shared" si="10"/>
        <v>-8766</v>
      </c>
      <c r="Z70" s="9" t="s">
        <v>2</v>
      </c>
      <c r="AG70" s="52">
        <f>-AI68</f>
        <v>-4756107.649430028</v>
      </c>
      <c r="AH70" s="9" t="s">
        <v>2</v>
      </c>
      <c r="AI70" s="52">
        <f>-AI68-SUM(AI71:AI73)</f>
        <v>-1100741.009425092</v>
      </c>
      <c r="AJ70" s="73">
        <f>W6*$AN29</f>
        <v>626380.7413282907</v>
      </c>
      <c r="AK70" s="74">
        <f>X6*$AN30</f>
        <v>544988.9904427332</v>
      </c>
      <c r="AL70" s="74">
        <f>Y6*$AN31</f>
        <v>0</v>
      </c>
      <c r="AM70" s="9" t="s">
        <v>2</v>
      </c>
    </row>
    <row r="71" spans="1:39" s="2" customFormat="1" ht="13.5" customHeight="1">
      <c r="A71" s="4"/>
      <c r="B71" s="4"/>
      <c r="C71" s="4"/>
      <c r="I71" s="356"/>
      <c r="J71" s="9" t="s">
        <v>3</v>
      </c>
      <c r="T71" s="68">
        <f>AG71/AG$53-AG61</f>
        <v>-8003.733495971654</v>
      </c>
      <c r="U71" s="9" t="s">
        <v>3</v>
      </c>
      <c r="V71" s="385">
        <f>AI71/AI$53-V61</f>
        <v>-39554.2030902711</v>
      </c>
      <c r="W71" s="187">
        <f t="shared" si="10"/>
        <v>49.508720449401494</v>
      </c>
      <c r="X71" s="188">
        <f t="shared" si="10"/>
        <v>171.18072983780348</v>
      </c>
      <c r="Y71" s="188">
        <f t="shared" si="10"/>
        <v>942.277899249184</v>
      </c>
      <c r="Z71" s="9" t="s">
        <v>3</v>
      </c>
      <c r="AA71" s="289" t="s">
        <v>113</v>
      </c>
      <c r="AG71" s="68">
        <f>T7*$AN29</f>
        <v>2505522.9653131627</v>
      </c>
      <c r="AH71" s="241" t="s">
        <v>3</v>
      </c>
      <c r="AI71" s="254">
        <f aca="true" t="shared" si="11" ref="AI71:AL73">V7*$AN29</f>
        <v>-1879142.223984872</v>
      </c>
      <c r="AJ71" s="255">
        <f t="shared" si="11"/>
        <v>626380.7413282907</v>
      </c>
      <c r="AK71" s="256">
        <f t="shared" si="11"/>
        <v>626380.7413282907</v>
      </c>
      <c r="AL71" s="256">
        <f t="shared" si="11"/>
        <v>626380.7413282907</v>
      </c>
      <c r="AM71" s="241" t="s">
        <v>3</v>
      </c>
    </row>
    <row r="72" spans="1:39" s="2" customFormat="1" ht="13.5" customHeight="1">
      <c r="A72" s="4"/>
      <c r="B72" s="4"/>
      <c r="C72" s="4"/>
      <c r="G72" s="360" t="s">
        <v>159</v>
      </c>
      <c r="I72" s="356"/>
      <c r="J72" s="9" t="s">
        <v>4</v>
      </c>
      <c r="T72" s="68">
        <f>AG72/AG$53-AG62</f>
        <v>-8272.805710599758</v>
      </c>
      <c r="U72" s="9" t="s">
        <v>4</v>
      </c>
      <c r="V72" s="386">
        <f>AI72/AI$53-V62</f>
        <v>-38158.81346984883</v>
      </c>
      <c r="W72" s="190">
        <f t="shared" si="10"/>
        <v>31.152277173558105</v>
      </c>
      <c r="X72" s="95">
        <f t="shared" si="10"/>
        <v>281.39031632319075</v>
      </c>
      <c r="Y72" s="191">
        <f t="shared" si="10"/>
        <v>1019.5914058212584</v>
      </c>
      <c r="Z72" s="9" t="s">
        <v>4</v>
      </c>
      <c r="AA72" s="289" t="s">
        <v>103</v>
      </c>
      <c r="AG72" s="68">
        <f>T8*$AN30</f>
        <v>2179955.9617709327</v>
      </c>
      <c r="AH72" s="241" t="s">
        <v>4</v>
      </c>
      <c r="AI72" s="257">
        <f t="shared" si="11"/>
        <v>-1634966.9713281994</v>
      </c>
      <c r="AJ72" s="258">
        <f t="shared" si="11"/>
        <v>544988.9904427332</v>
      </c>
      <c r="AK72" s="259">
        <f t="shared" si="11"/>
        <v>544988.9904427332</v>
      </c>
      <c r="AL72" s="260">
        <f t="shared" si="11"/>
        <v>544988.9904427332</v>
      </c>
      <c r="AM72" s="241" t="s">
        <v>4</v>
      </c>
    </row>
    <row r="73" spans="1:39" s="2" customFormat="1" ht="13.5" customHeight="1" thickBot="1">
      <c r="A73" s="4"/>
      <c r="B73" s="4"/>
      <c r="C73" s="4"/>
      <c r="G73" s="361" t="s">
        <v>160</v>
      </c>
      <c r="I73" s="298">
        <f>3*I47/Term</f>
        <v>-18720.551908837027</v>
      </c>
      <c r="J73" s="9" t="s">
        <v>0</v>
      </c>
      <c r="T73" s="227">
        <f>AG73/AG$53-AG63</f>
        <v>16838.063971332333</v>
      </c>
      <c r="U73" s="9" t="s">
        <v>0</v>
      </c>
      <c r="V73" s="387">
        <f>AI73/AI$53-V63</f>
        <v>-27184.0732715958</v>
      </c>
      <c r="W73" s="37">
        <f t="shared" si="10"/>
        <v>20.079182334820217</v>
      </c>
      <c r="X73" s="38">
        <f t="shared" si="10"/>
        <v>353.49249789017085</v>
      </c>
      <c r="Y73" s="39">
        <f t="shared" si="10"/>
        <v>6809.611135926281</v>
      </c>
      <c r="Z73" s="9" t="s">
        <v>0</v>
      </c>
      <c r="AA73" s="289" t="s">
        <v>101</v>
      </c>
      <c r="AG73" s="227">
        <f>T9*$AN31</f>
        <v>70628.7223459324</v>
      </c>
      <c r="AH73" s="9" t="s">
        <v>0</v>
      </c>
      <c r="AI73" s="88">
        <f t="shared" si="11"/>
        <v>-141257.4446918648</v>
      </c>
      <c r="AJ73" s="89">
        <f t="shared" si="11"/>
        <v>70628.7223459324</v>
      </c>
      <c r="AK73" s="90">
        <f t="shared" si="11"/>
        <v>70628.7223459324</v>
      </c>
      <c r="AL73" s="91">
        <f t="shared" si="11"/>
        <v>-70628.7223459324</v>
      </c>
      <c r="AM73" s="9" t="s">
        <v>0</v>
      </c>
    </row>
    <row r="74" spans="1:35" s="2" customFormat="1" ht="13.5" customHeight="1">
      <c r="A74" s="4"/>
      <c r="B74" s="4"/>
      <c r="C74" s="14"/>
      <c r="AI74" s="224"/>
    </row>
    <row r="75" spans="1:3" s="2" customFormat="1" ht="13.5" customHeight="1">
      <c r="A75" s="4"/>
      <c r="B75" s="4"/>
      <c r="C75" s="4"/>
    </row>
    <row r="76" spans="1:38" s="2" customFormat="1" ht="13.5" customHeight="1" thickBot="1">
      <c r="A76" s="4"/>
      <c r="B76" s="4"/>
      <c r="C76" s="4"/>
      <c r="T76" s="282">
        <f>SUM(T71:T73)</f>
        <v>561.5247647609212</v>
      </c>
      <c r="U76" s="94" t="s">
        <v>50</v>
      </c>
      <c r="V76" s="349">
        <f>SUM(V71:V73)</f>
        <v>-104897.08983171573</v>
      </c>
      <c r="W76" s="6">
        <f>SUM(W71:W73)</f>
        <v>100.74017995777982</v>
      </c>
      <c r="X76" s="6">
        <f>SUM(X71:X73)</f>
        <v>806.0635440511651</v>
      </c>
      <c r="Y76" s="307">
        <f>SUM(Y71:Y72)</f>
        <v>1961.8693050704424</v>
      </c>
      <c r="AA76" s="7" t="s">
        <v>100</v>
      </c>
      <c r="AI76" s="70">
        <f>-SUM(AJ76:AL76)</f>
        <v>0</v>
      </c>
      <c r="AJ76" s="71"/>
      <c r="AK76" s="71"/>
      <c r="AL76" s="280"/>
    </row>
    <row r="77" spans="1:38" s="2" customFormat="1" ht="13.5" customHeight="1">
      <c r="A77" s="4"/>
      <c r="B77" s="4"/>
      <c r="C77" s="4"/>
      <c r="V77" s="9">
        <v>0</v>
      </c>
      <c r="W77" s="9">
        <v>1</v>
      </c>
      <c r="X77" s="9">
        <v>2</v>
      </c>
      <c r="Y77" s="9" t="s">
        <v>0</v>
      </c>
      <c r="AH77" s="318" t="s">
        <v>158</v>
      </c>
      <c r="AI77" s="9" t="s">
        <v>2</v>
      </c>
      <c r="AJ77" s="9" t="s">
        <v>3</v>
      </c>
      <c r="AK77" s="9" t="s">
        <v>4</v>
      </c>
      <c r="AL77" s="9" t="s">
        <v>0</v>
      </c>
    </row>
    <row r="78" spans="1:39" s="2" customFormat="1" ht="13.5" customHeight="1">
      <c r="A78" s="4"/>
      <c r="B78" s="4"/>
      <c r="C78" s="4"/>
      <c r="AE78"/>
      <c r="AG78" s="52">
        <f>-AI76</f>
        <v>0</v>
      </c>
      <c r="AH78" s="9" t="s">
        <v>2</v>
      </c>
      <c r="AI78" s="52">
        <f>-SUM(AJ78:AL78)</f>
        <v>0</v>
      </c>
      <c r="AJ78" s="73"/>
      <c r="AK78" s="74"/>
      <c r="AL78" s="74"/>
      <c r="AM78" s="9" t="s">
        <v>2</v>
      </c>
    </row>
    <row r="79" spans="1:39" s="2" customFormat="1" ht="13.5" customHeight="1">
      <c r="A79" s="4"/>
      <c r="B79" s="4"/>
      <c r="C79" s="4"/>
      <c r="AA79" s="7" t="s">
        <v>121</v>
      </c>
      <c r="AE79"/>
      <c r="AF79" s="301" t="s">
        <v>221</v>
      </c>
      <c r="AG79" s="68">
        <f>AJ78-AI79</f>
        <v>-10.560788729990277</v>
      </c>
      <c r="AH79" s="9" t="s">
        <v>3</v>
      </c>
      <c r="AI79" s="254">
        <f>-SUM(AJ79:AL79)</f>
        <v>10.560788729990277</v>
      </c>
      <c r="AJ79" s="255">
        <v>0</v>
      </c>
      <c r="AK79" s="256">
        <f>(AG47-AG46)*(V0-Nu)*(G21+G22)</f>
        <v>-10.560788729990277</v>
      </c>
      <c r="AL79" s="256"/>
      <c r="AM79" s="241" t="s">
        <v>3</v>
      </c>
    </row>
    <row r="80" spans="1:39" s="2" customFormat="1" ht="13.5" customHeight="1" thickBot="1">
      <c r="A80" s="4"/>
      <c r="B80" s="4"/>
      <c r="C80" s="4"/>
      <c r="U80" s="94" t="s">
        <v>95</v>
      </c>
      <c r="V80" s="46">
        <f>V48/V76</f>
        <v>0.997061274836505</v>
      </c>
      <c r="W80" s="87">
        <f>IF(W76&gt;W48,W48/W76,1)</f>
        <v>0.9975292836752357</v>
      </c>
      <c r="X80" s="87">
        <f>IF(X76&gt;X48,X48/X76,1)</f>
        <v>0.997455157777187</v>
      </c>
      <c r="Y80" s="311">
        <f>IF(Y76&gt;Y48,Y48/Y76,1)</f>
        <v>0.9972065208510273</v>
      </c>
      <c r="AA80" s="7" t="s">
        <v>120</v>
      </c>
      <c r="AE80"/>
      <c r="AF80" s="301" t="s">
        <v>222</v>
      </c>
      <c r="AG80" s="68">
        <f>AK78-AI80</f>
        <v>10.560788729990277</v>
      </c>
      <c r="AH80" s="9" t="s">
        <v>4</v>
      </c>
      <c r="AI80" s="257">
        <f>-SUM(AJ80:AL80)</f>
        <v>-10.560788729990277</v>
      </c>
      <c r="AJ80" s="258">
        <f>-AK79</f>
        <v>10.560788729990277</v>
      </c>
      <c r="AK80" s="259">
        <v>0</v>
      </c>
      <c r="AL80" s="260"/>
      <c r="AM80" s="241" t="s">
        <v>4</v>
      </c>
    </row>
    <row r="81" spans="1:39" s="2" customFormat="1" ht="13.5" customHeight="1" thickBot="1">
      <c r="A81" s="4"/>
      <c r="B81" s="4"/>
      <c r="C81" s="4"/>
      <c r="V81" s="9">
        <v>0</v>
      </c>
      <c r="W81" s="9">
        <v>1</v>
      </c>
      <c r="X81" s="9">
        <v>2</v>
      </c>
      <c r="Y81" s="9" t="s">
        <v>0</v>
      </c>
      <c r="AE81"/>
      <c r="AF81"/>
      <c r="AG81" s="227">
        <f>AL78-AI81</f>
        <v>0</v>
      </c>
      <c r="AH81" s="9" t="s">
        <v>0</v>
      </c>
      <c r="AI81" s="88">
        <f>-SUM(AJ81:AL81)</f>
        <v>0</v>
      </c>
      <c r="AJ81" s="89"/>
      <c r="AK81" s="90"/>
      <c r="AL81" s="91"/>
      <c r="AM81" s="9" t="s">
        <v>0</v>
      </c>
    </row>
    <row r="82" spans="1:41" s="2" customFormat="1" ht="13.5" customHeight="1">
      <c r="A82" s="4"/>
      <c r="B82" s="4"/>
      <c r="C82" s="4"/>
      <c r="AE82"/>
      <c r="AG82"/>
      <c r="AO82" s="346" t="s">
        <v>146</v>
      </c>
    </row>
    <row r="83" spans="1:41" s="2" customFormat="1" ht="13.5" customHeight="1">
      <c r="A83" s="4"/>
      <c r="B83" s="4"/>
      <c r="C83" s="4"/>
      <c r="AA83" s="325" t="s">
        <v>117</v>
      </c>
      <c r="AE83"/>
      <c r="AO83" s="347" t="s">
        <v>147</v>
      </c>
    </row>
    <row r="84" spans="1:38" s="2" customFormat="1" ht="13.5" customHeight="1" thickBot="1">
      <c r="A84" s="4"/>
      <c r="B84" s="4"/>
      <c r="C84" s="4"/>
      <c r="K84" s="43">
        <f>K26+DT*(V84-V0*K26*3)</f>
        <v>0</v>
      </c>
      <c r="L84" s="44">
        <f>L26+DT*(W84-L$9*L26*3)</f>
        <v>0</v>
      </c>
      <c r="M84" s="44">
        <f>M26+DT*(X84-M$9*M26*3)</f>
        <v>0</v>
      </c>
      <c r="N84" s="309">
        <f>N26+DT*(Y84-N$9*N26*3)</f>
        <v>0</v>
      </c>
      <c r="V84" s="489">
        <f>-W$53*W84-X$53*X84-Y$53*Y84</f>
        <v>0</v>
      </c>
      <c r="W84" s="93">
        <f>0</f>
        <v>0</v>
      </c>
      <c r="X84" s="93">
        <f>0</f>
        <v>0</v>
      </c>
      <c r="Y84" s="312">
        <f>0</f>
        <v>0</v>
      </c>
      <c r="AA84" s="288" t="s">
        <v>102</v>
      </c>
      <c r="AE84"/>
      <c r="AI84" s="70">
        <f>-SUM(AJ84:AL84)</f>
        <v>0</v>
      </c>
      <c r="AJ84" s="71">
        <f>AJ$53*W84</f>
        <v>0</v>
      </c>
      <c r="AK84" s="71">
        <f>AK$53*X84</f>
        <v>0</v>
      </c>
      <c r="AL84" s="280">
        <f>AL$53*Y84</f>
        <v>0</v>
      </c>
    </row>
    <row r="85" spans="1:38" s="2" customFormat="1" ht="13.5" customHeight="1">
      <c r="A85" s="4"/>
      <c r="B85" s="4"/>
      <c r="C85" s="4"/>
      <c r="J85" s="94" t="s">
        <v>86</v>
      </c>
      <c r="K85" s="9">
        <v>0</v>
      </c>
      <c r="L85" s="9" t="s">
        <v>3</v>
      </c>
      <c r="M85" s="9" t="s">
        <v>4</v>
      </c>
      <c r="N85" s="9" t="s">
        <v>0</v>
      </c>
      <c r="S85" s="301" t="s">
        <v>127</v>
      </c>
      <c r="T85" s="49" t="s">
        <v>23</v>
      </c>
      <c r="U85" s="94" t="s">
        <v>92</v>
      </c>
      <c r="V85" s="241" t="s">
        <v>2</v>
      </c>
      <c r="W85" s="241" t="s">
        <v>3</v>
      </c>
      <c r="X85" s="241" t="s">
        <v>4</v>
      </c>
      <c r="Y85" s="241" t="s">
        <v>0</v>
      </c>
      <c r="AA85" s="287"/>
      <c r="AE85"/>
      <c r="AG85" s="493" t="s">
        <v>225</v>
      </c>
      <c r="AH85" s="318" t="s">
        <v>109</v>
      </c>
      <c r="AI85" s="9" t="s">
        <v>2</v>
      </c>
      <c r="AJ85" s="9">
        <v>1</v>
      </c>
      <c r="AK85" s="9" t="s">
        <v>4</v>
      </c>
      <c r="AL85" s="9" t="s">
        <v>0</v>
      </c>
    </row>
    <row r="86" spans="1:39" s="2" customFormat="1" ht="13.5" customHeight="1">
      <c r="A86" s="4"/>
      <c r="B86" s="4"/>
      <c r="C86" s="4"/>
      <c r="F86" s="339" t="s">
        <v>2</v>
      </c>
      <c r="G86" s="169"/>
      <c r="I86" s="169"/>
      <c r="J86" s="339" t="s">
        <v>2</v>
      </c>
      <c r="K86" s="423">
        <f>K28+DT*(V86-V0*K28*3)</f>
        <v>34862.94203808329</v>
      </c>
      <c r="L86" s="50">
        <f aca="true" t="shared" si="12" ref="L86:N89">L28+DT*(W86-L$9*L28*3)</f>
        <v>-334.8831784722513</v>
      </c>
      <c r="M86" s="51">
        <f t="shared" si="12"/>
        <v>-803.9668286745514</v>
      </c>
      <c r="N86" s="51">
        <f t="shared" si="12"/>
        <v>-2922</v>
      </c>
      <c r="O86" s="9" t="s">
        <v>2</v>
      </c>
      <c r="S86" s="342" t="s">
        <v>110</v>
      </c>
      <c r="T86" s="355">
        <f>AG78+AG86</f>
        <v>0</v>
      </c>
      <c r="U86" s="9" t="s">
        <v>2</v>
      </c>
      <c r="V86" s="480">
        <f>-V84-SUM(V87:V89)</f>
        <v>104588.82611424987</v>
      </c>
      <c r="W86" s="433">
        <f>-W45</f>
        <v>-100.49127955059839</v>
      </c>
      <c r="X86" s="434">
        <f>-X45</f>
        <v>-804.0122395099934</v>
      </c>
      <c r="Y86" s="435">
        <f>-Y45</f>
        <v>-8766</v>
      </c>
      <c r="Z86" s="9" t="s">
        <v>2</v>
      </c>
      <c r="AA86" s="299" t="s">
        <v>125</v>
      </c>
      <c r="AB86" s="328"/>
      <c r="AE86"/>
      <c r="AG86" s="52">
        <f>-AI84</f>
        <v>0</v>
      </c>
      <c r="AH86" s="9" t="s">
        <v>2</v>
      </c>
      <c r="AI86" s="52">
        <f>-SUM(AJ86:AL86)</f>
        <v>218819.3450767249</v>
      </c>
      <c r="AJ86" s="73">
        <f>-AJ84-SUM(AJ87:AJ89)</f>
        <v>-90727.05302515528</v>
      </c>
      <c r="AK86" s="74">
        <f>-AK84-SUM(AK87:AK89)</f>
        <v>-88077.81941083077</v>
      </c>
      <c r="AL86" s="74">
        <f>-AL84-SUM(AL87:AL89)</f>
        <v>-40014.47264073884</v>
      </c>
      <c r="AM86" s="9" t="s">
        <v>2</v>
      </c>
    </row>
    <row r="87" spans="1:39" s="2" customFormat="1" ht="13.5" customHeight="1">
      <c r="A87" s="4"/>
      <c r="B87" s="4"/>
      <c r="C87" s="4"/>
      <c r="F87" s="339" t="s">
        <v>3</v>
      </c>
      <c r="G87" s="214">
        <f>K_1+DT*(T87-T21)</f>
        <v>79774.27599365408</v>
      </c>
      <c r="I87" s="214"/>
      <c r="J87" s="339" t="s">
        <v>3</v>
      </c>
      <c r="K87" s="424">
        <f>K29+DT*(V87-V0*K29*3)</f>
        <v>-13146.080197346995</v>
      </c>
      <c r="L87" s="56">
        <f t="shared" si="12"/>
        <v>164.55077804558988</v>
      </c>
      <c r="M87" s="57">
        <f t="shared" si="12"/>
        <v>170.7584657860949</v>
      </c>
      <c r="N87" s="57">
        <f t="shared" si="12"/>
        <v>313.2247750776747</v>
      </c>
      <c r="O87" s="241" t="s">
        <v>3</v>
      </c>
      <c r="T87" s="356">
        <f>AG79+AG87</f>
        <v>-8226.290672886234</v>
      </c>
      <c r="U87" s="9" t="s">
        <v>3</v>
      </c>
      <c r="V87" s="490">
        <f>V$80*V71</f>
        <v>-39437.964158327726</v>
      </c>
      <c r="W87" s="285">
        <f aca="true" t="shared" si="13" ref="W87:Y88">W$80*W71</f>
        <v>49.386398445568965</v>
      </c>
      <c r="X87" s="272">
        <f t="shared" si="13"/>
        <v>170.74510188878028</v>
      </c>
      <c r="Y87" s="269">
        <f t="shared" si="13"/>
        <v>939.6456655850936</v>
      </c>
      <c r="Z87" s="9" t="s">
        <v>3</v>
      </c>
      <c r="AB87" s="328"/>
      <c r="AE87"/>
      <c r="AF87" s="301" t="s">
        <v>126</v>
      </c>
      <c r="AG87" s="68">
        <f>AJ86-AI87</f>
        <v>-8215.729884156244</v>
      </c>
      <c r="AH87" s="9" t="s">
        <v>3</v>
      </c>
      <c r="AI87" s="254">
        <f>-SUM(AJ87:AL87)</f>
        <v>-82511.32314099904</v>
      </c>
      <c r="AJ87" s="255">
        <f aca="true" t="shared" si="14" ref="AJ87:AL88">AJ$53*W87</f>
        <v>44587.77329267173</v>
      </c>
      <c r="AK87" s="256">
        <f t="shared" si="14"/>
        <v>18704.760338734824</v>
      </c>
      <c r="AL87" s="256">
        <f t="shared" si="14"/>
        <v>19218.789509592498</v>
      </c>
      <c r="AM87" s="241" t="s">
        <v>3</v>
      </c>
    </row>
    <row r="88" spans="1:39" s="2" customFormat="1" ht="13.5" customHeight="1">
      <c r="A88" s="4"/>
      <c r="B88" s="4"/>
      <c r="C88" s="4"/>
      <c r="F88" s="339" t="s">
        <v>4</v>
      </c>
      <c r="G88" s="214">
        <f>K_2+DT*(T88-T22)</f>
        <v>82101.42499754262</v>
      </c>
      <c r="I88" s="214"/>
      <c r="J88" s="339" t="s">
        <v>4</v>
      </c>
      <c r="K88" s="425">
        <f>K30+DT*(V88-V0*K30*3)</f>
        <v>-12682.221310517514</v>
      </c>
      <c r="L88" s="215">
        <f t="shared" si="12"/>
        <v>103.5595094468833</v>
      </c>
      <c r="M88" s="216">
        <f t="shared" si="12"/>
        <v>280.6545873308108</v>
      </c>
      <c r="N88" s="217">
        <f t="shared" si="12"/>
        <v>338.91725384645827</v>
      </c>
      <c r="O88" s="241" t="s">
        <v>4</v>
      </c>
      <c r="T88" s="356">
        <f>AG80+AG88</f>
        <v>-8468.436331188592</v>
      </c>
      <c r="U88" s="9" t="s">
        <v>4</v>
      </c>
      <c r="V88" s="491">
        <f>V$80*V72</f>
        <v>-38046.67520449587</v>
      </c>
      <c r="W88" s="270">
        <f t="shared" si="13"/>
        <v>31.075308733791815</v>
      </c>
      <c r="X88" s="271">
        <f t="shared" si="13"/>
        <v>280.6742223651208</v>
      </c>
      <c r="Y88" s="272">
        <f t="shared" si="13"/>
        <v>1016.743198488625</v>
      </c>
      <c r="Z88" s="9" t="s">
        <v>4</v>
      </c>
      <c r="AA88" s="289" t="s">
        <v>103</v>
      </c>
      <c r="AE88"/>
      <c r="AF88" s="301" t="s">
        <v>133</v>
      </c>
      <c r="AG88" s="68">
        <f>AK86-AI88</f>
        <v>-8478.997119918582</v>
      </c>
      <c r="AH88" s="9" t="s">
        <v>4</v>
      </c>
      <c r="AI88" s="257">
        <f>-SUM(AJ88:AL88)</f>
        <v>-79598.82229091218</v>
      </c>
      <c r="AJ88" s="258">
        <f t="shared" si="14"/>
        <v>28055.87903619256</v>
      </c>
      <c r="AK88" s="259">
        <f>AK$53*X88</f>
        <v>30747.260123573276</v>
      </c>
      <c r="AL88" s="260">
        <f t="shared" si="14"/>
        <v>20795.683131146343</v>
      </c>
      <c r="AM88" s="241" t="s">
        <v>4</v>
      </c>
    </row>
    <row r="89" spans="1:39" s="2" customFormat="1" ht="13.5" customHeight="1" thickBot="1">
      <c r="A89" s="4"/>
      <c r="B89" s="4"/>
      <c r="C89" s="4"/>
      <c r="F89" s="339" t="s">
        <v>0</v>
      </c>
      <c r="G89" s="226"/>
      <c r="I89" s="226">
        <f>I31+DT*(I73-3*I31/Term+T89-T23)</f>
        <v>-40549.125880423046</v>
      </c>
      <c r="J89" s="339" t="s">
        <v>0</v>
      </c>
      <c r="K89" s="426">
        <f>K31+DT*(V89-V0*K31*3)</f>
        <v>-9034.640530218778</v>
      </c>
      <c r="L89" s="218">
        <f t="shared" si="12"/>
        <v>66.77289097977844</v>
      </c>
      <c r="M89" s="219">
        <f t="shared" si="12"/>
        <v>352.55377555764585</v>
      </c>
      <c r="N89" s="220">
        <f t="shared" si="12"/>
        <v>2269.857971075867</v>
      </c>
      <c r="O89" s="241" t="s">
        <v>0</v>
      </c>
      <c r="S89" s="301" t="s">
        <v>111</v>
      </c>
      <c r="T89" s="298">
        <f>AG81+AG89</f>
        <v>16694.72700407481</v>
      </c>
      <c r="U89" s="9" t="s">
        <v>0</v>
      </c>
      <c r="V89" s="492">
        <f>V$80*V73</f>
        <v>-27104.18675142627</v>
      </c>
      <c r="W89" s="273">
        <f>W$80*W73</f>
        <v>20.02957237123766</v>
      </c>
      <c r="X89" s="274">
        <f>X$80*X73</f>
        <v>352.5929152560923</v>
      </c>
      <c r="Y89" s="275">
        <f>-Y84-SUM(Y86:Y88)</f>
        <v>6809.611135926281</v>
      </c>
      <c r="Z89" s="9" t="s">
        <v>0</v>
      </c>
      <c r="AA89" s="289" t="s">
        <v>101</v>
      </c>
      <c r="AB89" s="329"/>
      <c r="AE89"/>
      <c r="AF89"/>
      <c r="AG89" s="227">
        <f>AL86-AI89</f>
        <v>16694.72700407481</v>
      </c>
      <c r="AH89" s="9" t="s">
        <v>0</v>
      </c>
      <c r="AI89" s="88">
        <f>-SUM(AJ89:AL89)</f>
        <v>-56709.19964481365</v>
      </c>
      <c r="AJ89" s="89">
        <f>AJ$53*W89</f>
        <v>18083.40069629099</v>
      </c>
      <c r="AK89" s="90">
        <f>AK$53*X89</f>
        <v>38625.79894852266</v>
      </c>
      <c r="AL89" s="276">
        <v>0</v>
      </c>
      <c r="AM89" s="9" t="s">
        <v>0</v>
      </c>
    </row>
    <row r="90" spans="1:19" s="2" customFormat="1" ht="13.5" customHeight="1">
      <c r="A90" s="4"/>
      <c r="B90" s="4"/>
      <c r="C90" s="4"/>
      <c r="S90" s="341" t="s">
        <v>128</v>
      </c>
    </row>
    <row r="91" spans="1:3" s="2" customFormat="1" ht="13.5" customHeight="1">
      <c r="A91" s="4"/>
      <c r="B91" s="4"/>
      <c r="C91" s="4"/>
    </row>
    <row r="92" spans="1:25" s="2" customFormat="1" ht="13.5" customHeight="1" thickBot="1">
      <c r="A92" s="4"/>
      <c r="B92" s="4"/>
      <c r="C92" s="4"/>
      <c r="I92" s="226"/>
      <c r="K92" s="43">
        <f>K34+DT*K$9*3*(K26-K34)</f>
        <v>0</v>
      </c>
      <c r="L92" s="44">
        <f>L34+DT*L$9*3*(L26-L34)</f>
        <v>0</v>
      </c>
      <c r="M92" s="44">
        <f>M34+DT*M$9*3*(M26-M34)</f>
        <v>0</v>
      </c>
      <c r="N92" s="309">
        <f>N34+DT*N$9*3*(N26-N34)</f>
        <v>0</v>
      </c>
      <c r="T92" s="476">
        <f>GPE!C8</f>
        <v>-0.28861114475876093</v>
      </c>
      <c r="U92" s="172"/>
      <c r="V92" s="320">
        <f>GPE!E8</f>
        <v>0</v>
      </c>
      <c r="W92" s="476">
        <f>GPE!F8</f>
        <v>0</v>
      </c>
      <c r="X92" s="476">
        <f>GPE!G8</f>
        <v>0</v>
      </c>
      <c r="Y92" s="476">
        <f>GPE!H8</f>
        <v>0</v>
      </c>
    </row>
    <row r="93" spans="1:26" s="2" customFormat="1" ht="13.5" customHeight="1">
      <c r="A93" s="4"/>
      <c r="B93" s="4"/>
      <c r="C93" s="4"/>
      <c r="J93" s="94" t="s">
        <v>87</v>
      </c>
      <c r="K93" s="9">
        <v>0</v>
      </c>
      <c r="L93" s="9" t="s">
        <v>3</v>
      </c>
      <c r="M93" s="9" t="s">
        <v>4</v>
      </c>
      <c r="N93" s="9" t="s">
        <v>0</v>
      </c>
      <c r="T93" s="354" t="s">
        <v>23</v>
      </c>
      <c r="U93" s="303" t="s">
        <v>99</v>
      </c>
      <c r="V93" s="173" t="s">
        <v>2</v>
      </c>
      <c r="W93" s="173" t="s">
        <v>3</v>
      </c>
      <c r="X93" s="173" t="s">
        <v>4</v>
      </c>
      <c r="Y93" s="173" t="s">
        <v>0</v>
      </c>
      <c r="Z93" s="303"/>
    </row>
    <row r="94" spans="1:26" s="2" customFormat="1" ht="13.5" customHeight="1">
      <c r="A94" s="266"/>
      <c r="B94" s="266"/>
      <c r="C94" s="266"/>
      <c r="I94" s="169"/>
      <c r="J94" s="339" t="s">
        <v>2</v>
      </c>
      <c r="K94" s="423">
        <f aca="true" t="shared" si="15" ref="K94:N97">K36+DT*K$9*3*(K28-K36)</f>
        <v>34862.94203808329</v>
      </c>
      <c r="L94" s="50">
        <f t="shared" si="15"/>
        <v>-334.75936446975453</v>
      </c>
      <c r="M94" s="51">
        <f t="shared" si="15"/>
        <v>-803.9170234890706</v>
      </c>
      <c r="N94" s="51">
        <f t="shared" si="15"/>
        <v>-2922</v>
      </c>
      <c r="O94" s="9" t="s">
        <v>2</v>
      </c>
      <c r="T94" s="323">
        <f>GPE!C10</f>
        <v>0</v>
      </c>
      <c r="U94" s="173" t="s">
        <v>2</v>
      </c>
      <c r="V94" s="322">
        <f>GPE!E10</f>
        <v>104588.82611424987</v>
      </c>
      <c r="W94" s="322">
        <f>GPE!F10</f>
        <v>-100</v>
      </c>
      <c r="X94" s="322">
        <f>GPE!G10</f>
        <v>-750</v>
      </c>
      <c r="Y94" s="322">
        <f>GPE!H10</f>
        <v>-8766</v>
      </c>
      <c r="Z94" s="173" t="s">
        <v>2</v>
      </c>
    </row>
    <row r="95" spans="1:26" s="2" customFormat="1" ht="13.5" customHeight="1">
      <c r="A95" s="266"/>
      <c r="B95" s="266"/>
      <c r="C95" s="266"/>
      <c r="I95" s="214"/>
      <c r="J95" s="339" t="s">
        <v>3</v>
      </c>
      <c r="K95" s="424">
        <f t="shared" si="15"/>
        <v>-13146.178645864235</v>
      </c>
      <c r="L95" s="56">
        <f t="shared" si="15"/>
        <v>164.44919014730382</v>
      </c>
      <c r="M95" s="57">
        <f t="shared" si="15"/>
        <v>170.77346454135537</v>
      </c>
      <c r="N95" s="57">
        <f t="shared" si="15"/>
        <v>313.2349291698495</v>
      </c>
      <c r="O95" s="241" t="s">
        <v>3</v>
      </c>
      <c r="T95" s="475">
        <f>GPE!C11</f>
        <v>-8035.153797865685</v>
      </c>
      <c r="U95" s="173" t="s">
        <v>3</v>
      </c>
      <c r="V95" s="322">
        <f>GPE!E11</f>
        <v>-40175.76898932832</v>
      </c>
      <c r="W95" s="475">
        <f>GPE!F11</f>
        <v>50</v>
      </c>
      <c r="X95" s="475">
        <f>GPE!G11</f>
        <v>150</v>
      </c>
      <c r="Y95" s="475">
        <f>GPE!H11</f>
        <v>1000</v>
      </c>
      <c r="Z95" s="173" t="s">
        <v>3</v>
      </c>
    </row>
    <row r="96" spans="1:26" s="2" customFormat="1" ht="13.5" customHeight="1">
      <c r="A96" s="266"/>
      <c r="B96" s="266"/>
      <c r="C96" s="266"/>
      <c r="E96" s="335" t="s">
        <v>138</v>
      </c>
      <c r="I96" s="214"/>
      <c r="J96" s="339" t="s">
        <v>4</v>
      </c>
      <c r="K96" s="425">
        <f t="shared" si="15"/>
        <v>-12682.216804321823</v>
      </c>
      <c r="L96" s="215">
        <f t="shared" si="15"/>
        <v>103.52616570622018</v>
      </c>
      <c r="M96" s="216">
        <f t="shared" si="15"/>
        <v>280.63298042510684</v>
      </c>
      <c r="N96" s="217">
        <f t="shared" si="15"/>
        <v>338.92027360811335</v>
      </c>
      <c r="O96" s="241" t="s">
        <v>4</v>
      </c>
      <c r="T96" s="475">
        <f>GPE!C12</f>
        <v>-7344.632768361582</v>
      </c>
      <c r="U96" s="173" t="s">
        <v>4</v>
      </c>
      <c r="V96" s="322">
        <f>GPE!E12</f>
        <v>-36723.16384180792</v>
      </c>
      <c r="W96" s="475">
        <f>GPE!F12</f>
        <v>30</v>
      </c>
      <c r="X96" s="475">
        <f>GPE!G12</f>
        <v>250</v>
      </c>
      <c r="Y96" s="475">
        <f>GPE!H12</f>
        <v>1000</v>
      </c>
      <c r="Z96" s="173" t="s">
        <v>4</v>
      </c>
    </row>
    <row r="97" spans="1:26" s="2" customFormat="1" ht="13.5" customHeight="1" thickBot="1">
      <c r="A97" s="266"/>
      <c r="B97" s="266"/>
      <c r="C97" s="266"/>
      <c r="E97" s="358" t="s">
        <v>180</v>
      </c>
      <c r="I97" s="226">
        <f>I39+DT*3*(I31-I39)/Term</f>
        <v>-40520.801249674114</v>
      </c>
      <c r="J97" s="339" t="s">
        <v>0</v>
      </c>
      <c r="K97" s="426">
        <f t="shared" si="15"/>
        <v>-9034.546587897234</v>
      </c>
      <c r="L97" s="218">
        <f t="shared" si="15"/>
        <v>66.78400861623005</v>
      </c>
      <c r="M97" s="219">
        <f t="shared" si="15"/>
        <v>352.51057852260817</v>
      </c>
      <c r="N97" s="220">
        <f t="shared" si="15"/>
        <v>2269.844797222037</v>
      </c>
      <c r="O97" s="9" t="s">
        <v>0</v>
      </c>
      <c r="T97" s="475">
        <f>GPE!C13</f>
        <v>15379.78656622726</v>
      </c>
      <c r="U97" s="173" t="s">
        <v>0</v>
      </c>
      <c r="V97" s="322">
        <f>GPE!E13</f>
        <v>-27689.89328311363</v>
      </c>
      <c r="W97" s="475">
        <f>GPE!F13</f>
        <v>20</v>
      </c>
      <c r="X97" s="475">
        <f>GPE!G13</f>
        <v>350</v>
      </c>
      <c r="Y97" s="475">
        <f>GPE!H13</f>
        <v>6766</v>
      </c>
      <c r="Z97" s="173" t="s">
        <v>0</v>
      </c>
    </row>
    <row r="98" spans="1:3" s="2" customFormat="1" ht="13.5" customHeight="1">
      <c r="A98" s="266"/>
      <c r="B98" s="266"/>
      <c r="C98" s="266"/>
    </row>
    <row r="99" spans="1:3" s="2" customFormat="1" ht="13.5" customHeight="1">
      <c r="A99" s="266"/>
      <c r="B99" s="266"/>
      <c r="C99" s="266"/>
    </row>
    <row r="100" spans="1:20" s="2" customFormat="1" ht="13.5" customHeight="1" thickBot="1">
      <c r="A100" s="266"/>
      <c r="B100" s="266"/>
      <c r="C100" s="266"/>
      <c r="I100" s="226"/>
      <c r="K100" s="43">
        <f>K42+DT*K$9*3*(K34-K42)</f>
        <v>0</v>
      </c>
      <c r="L100" s="44">
        <f>L42+DT*L$9*3*(L34-L42)</f>
        <v>0</v>
      </c>
      <c r="M100" s="44">
        <f>M42+DT*M$9*3*(M34-M42)</f>
        <v>0</v>
      </c>
      <c r="N100" s="309">
        <f>N42+DT*N$9*3*(N34-N42)</f>
        <v>0</v>
      </c>
      <c r="T100" s="488" t="s">
        <v>223</v>
      </c>
    </row>
    <row r="101" spans="1:20" s="2" customFormat="1" ht="13.5" customHeight="1">
      <c r="A101" s="266"/>
      <c r="B101" s="266"/>
      <c r="C101" s="266"/>
      <c r="J101" s="94" t="s">
        <v>72</v>
      </c>
      <c r="K101" s="9">
        <v>0</v>
      </c>
      <c r="L101" s="9" t="s">
        <v>3</v>
      </c>
      <c r="M101" s="9" t="s">
        <v>4</v>
      </c>
      <c r="N101" s="9" t="s">
        <v>0</v>
      </c>
      <c r="T101" s="304" t="s">
        <v>224</v>
      </c>
    </row>
    <row r="102" spans="1:21" s="2" customFormat="1" ht="13.5" customHeight="1">
      <c r="A102" s="266"/>
      <c r="B102" s="266"/>
      <c r="C102" s="266"/>
      <c r="I102" s="169"/>
      <c r="J102" s="339" t="s">
        <v>2</v>
      </c>
      <c r="K102" s="423">
        <f aca="true" t="shared" si="16" ref="K102:N105">K44+DT*K$9*3*(K36-K44)</f>
        <v>34862.94203808329</v>
      </c>
      <c r="L102" s="50">
        <f t="shared" si="16"/>
        <v>-334.587501835085</v>
      </c>
      <c r="M102" s="51">
        <f t="shared" si="16"/>
        <v>-803.8629218975565</v>
      </c>
      <c r="N102" s="51">
        <f t="shared" si="16"/>
        <v>-2922</v>
      </c>
      <c r="O102" s="9" t="s">
        <v>2</v>
      </c>
      <c r="T102" s="52">
        <f>-SUM(T103:T105)</f>
        <v>-1.4080322280315158</v>
      </c>
      <c r="U102" s="9" t="s">
        <v>2</v>
      </c>
    </row>
    <row r="103" spans="1:21" s="2" customFormat="1" ht="13.5" customHeight="1">
      <c r="A103" s="266"/>
      <c r="B103" s="266"/>
      <c r="C103" s="266"/>
      <c r="I103" s="214"/>
      <c r="J103" s="339" t="s">
        <v>3</v>
      </c>
      <c r="K103" s="424">
        <f t="shared" si="16"/>
        <v>-13146.28083901147</v>
      </c>
      <c r="L103" s="56">
        <f t="shared" si="16"/>
        <v>164.30291139083474</v>
      </c>
      <c r="M103" s="57">
        <f t="shared" si="16"/>
        <v>170.7901862284532</v>
      </c>
      <c r="N103" s="57">
        <f>N45+DT*N$9*3*(N37-N45)</f>
        <v>313.2454098034826</v>
      </c>
      <c r="O103" s="241" t="s">
        <v>3</v>
      </c>
      <c r="T103" s="68">
        <f>AG61/(T7/T29-1)</f>
        <v>-8246.845603482161</v>
      </c>
      <c r="U103" s="9" t="s">
        <v>3</v>
      </c>
    </row>
    <row r="104" spans="1:21" s="2" customFormat="1" ht="13.5" customHeight="1">
      <c r="A104" s="266"/>
      <c r="B104" s="266"/>
      <c r="C104" s="266"/>
      <c r="I104" s="214"/>
      <c r="J104" s="339" t="s">
        <v>4</v>
      </c>
      <c r="K104" s="425">
        <f t="shared" si="16"/>
        <v>-12682.211586535317</v>
      </c>
      <c r="L104" s="215">
        <f t="shared" si="16"/>
        <v>103.48101753812553</v>
      </c>
      <c r="M104" s="216">
        <f t="shared" si="16"/>
        <v>280.60944083197097</v>
      </c>
      <c r="N104" s="217">
        <f t="shared" si="16"/>
        <v>338.92337497145274</v>
      </c>
      <c r="O104" s="241" t="s">
        <v>4</v>
      </c>
      <c r="T104" s="68">
        <f>AG62/(T8/T30-1)</f>
        <v>-8487.922173930934</v>
      </c>
      <c r="U104" s="9" t="s">
        <v>4</v>
      </c>
    </row>
    <row r="105" spans="1:21" s="2" customFormat="1" ht="13.5" customHeight="1" thickBot="1">
      <c r="A105" s="266"/>
      <c r="B105" s="266"/>
      <c r="C105" s="266"/>
      <c r="I105" s="226">
        <f>I47+DT*3*(I39-I47)/Term</f>
        <v>-40485.894379945166</v>
      </c>
      <c r="J105" s="339" t="s">
        <v>0</v>
      </c>
      <c r="K105" s="426">
        <f t="shared" si="16"/>
        <v>-9034.449612536508</v>
      </c>
      <c r="L105" s="218">
        <f t="shared" si="16"/>
        <v>66.80357290612449</v>
      </c>
      <c r="M105" s="219">
        <f t="shared" si="16"/>
        <v>352.4632948371323</v>
      </c>
      <c r="N105" s="220">
        <f t="shared" si="16"/>
        <v>2269.831215225065</v>
      </c>
      <c r="O105" s="9" t="s">
        <v>0</v>
      </c>
      <c r="T105" s="227">
        <f>AG63/(T9/T31-1)</f>
        <v>16736.175809641125</v>
      </c>
      <c r="U105" s="9" t="s">
        <v>0</v>
      </c>
    </row>
    <row r="106" spans="1:3" s="2" customFormat="1" ht="13.5" customHeight="1">
      <c r="A106" s="266"/>
      <c r="B106" s="266"/>
      <c r="C106" s="266"/>
    </row>
    <row r="107" spans="1:12" s="2" customFormat="1" ht="13.5" customHeight="1">
      <c r="A107" s="266"/>
      <c r="B107" s="266"/>
      <c r="C107" s="266"/>
      <c r="E107" s="419" t="s">
        <v>197</v>
      </c>
      <c r="L107" s="40"/>
    </row>
    <row r="108" spans="1:22" s="2" customFormat="1" ht="13.5" customHeight="1" thickBot="1">
      <c r="A108" s="266"/>
      <c r="B108" s="266"/>
      <c r="C108" s="266"/>
      <c r="E108" s="419" t="s">
        <v>179</v>
      </c>
      <c r="G108" s="421">
        <f>LN(1-Nu)*(1-Nu)^Term+Nu*Kappa/Gamma</f>
        <v>0.32392261493260266</v>
      </c>
      <c r="I108" s="48">
        <f>Term-(1/I57-1/NPV)/G108</f>
        <v>6.487894666778382</v>
      </c>
      <c r="K108" s="422"/>
      <c r="N108" s="446">
        <f>Zl+DT*T108</f>
        <v>-10262.791810694462</v>
      </c>
      <c r="T108" s="456">
        <f>(T105-T23)/AL53/(1-AA31)</f>
        <v>0.10558004260062974</v>
      </c>
      <c r="V108" s="457" t="s">
        <v>208</v>
      </c>
    </row>
    <row r="109" spans="1:14" s="2" customFormat="1" ht="13.5" customHeight="1">
      <c r="A109" s="266"/>
      <c r="B109" s="266"/>
      <c r="C109" s="266"/>
      <c r="F109" s="287"/>
      <c r="I109" s="470">
        <f>IState!G9</f>
        <v>7</v>
      </c>
      <c r="N109" s="321">
        <f>Utility!H31</f>
        <v>-10219.742864345546</v>
      </c>
    </row>
    <row r="110" spans="1:3" s="2" customFormat="1" ht="13.5" customHeight="1">
      <c r="A110" s="266"/>
      <c r="B110" s="266"/>
      <c r="C110" s="266"/>
    </row>
    <row r="111" spans="1:3" s="2" customFormat="1" ht="13.5" customHeight="1">
      <c r="A111" s="266"/>
      <c r="B111" s="266"/>
      <c r="C111" s="266"/>
    </row>
    <row r="112" spans="1:3" s="2" customFormat="1" ht="13.5" customHeight="1">
      <c r="A112" s="266"/>
      <c r="B112" s="266"/>
      <c r="C112" s="266"/>
    </row>
    <row r="113" spans="1:3" s="2" customFormat="1" ht="13.5" customHeight="1">
      <c r="A113" s="266"/>
      <c r="B113" s="266"/>
      <c r="C113" s="266"/>
    </row>
    <row r="114" spans="1:3" s="2" customFormat="1" ht="13.5" customHeight="1">
      <c r="A114" s="266"/>
      <c r="B114" s="266"/>
      <c r="C114" s="266"/>
    </row>
    <row r="115" spans="1:3" s="2" customFormat="1" ht="13.5" customHeight="1">
      <c r="A115" s="266"/>
      <c r="B115" s="266"/>
      <c r="C115" s="266"/>
    </row>
    <row r="116" spans="1:3" s="2" customFormat="1" ht="13.5" customHeight="1">
      <c r="A116" s="266"/>
      <c r="B116" s="266"/>
      <c r="C116" s="266"/>
    </row>
    <row r="117" spans="1:3" s="2" customFormat="1" ht="13.5" customHeight="1">
      <c r="A117" s="266"/>
      <c r="B117" s="266"/>
      <c r="C117" s="266"/>
    </row>
    <row r="118" spans="1:3" s="2" customFormat="1" ht="13.5" customHeight="1">
      <c r="A118" s="266"/>
      <c r="B118" s="266"/>
      <c r="C118" s="266"/>
    </row>
    <row r="119" spans="1:3" s="2" customFormat="1" ht="13.5" customHeight="1">
      <c r="A119" s="266"/>
      <c r="B119" s="266"/>
      <c r="C119" s="266"/>
    </row>
    <row r="120" spans="1:3" s="2" customFormat="1" ht="13.5" customHeight="1">
      <c r="A120" s="266"/>
      <c r="B120" s="266"/>
      <c r="C120" s="266"/>
    </row>
    <row r="121" spans="1:3" s="2" customFormat="1" ht="13.5" customHeight="1">
      <c r="A121" s="266"/>
      <c r="B121" s="266"/>
      <c r="C121" s="266"/>
    </row>
    <row r="122" spans="1:3" s="2" customFormat="1" ht="13.5" customHeight="1">
      <c r="A122" s="266"/>
      <c r="B122" s="266"/>
      <c r="C122" s="266"/>
    </row>
    <row r="123" spans="1:3" s="2" customFormat="1" ht="13.5" customHeight="1">
      <c r="A123" s="266"/>
      <c r="B123" s="266"/>
      <c r="C123" s="266"/>
    </row>
    <row r="124" spans="1:3" s="2" customFormat="1" ht="13.5" customHeight="1">
      <c r="A124" s="266"/>
      <c r="B124" s="266"/>
      <c r="C124" s="266"/>
    </row>
    <row r="125" spans="1:3" s="2" customFormat="1" ht="13.5" customHeight="1">
      <c r="A125" s="266"/>
      <c r="B125" s="266"/>
      <c r="C125" s="266"/>
    </row>
    <row r="126" spans="1:3" s="2" customFormat="1" ht="13.5" customHeight="1">
      <c r="A126" s="266"/>
      <c r="B126" s="266"/>
      <c r="C126" s="266"/>
    </row>
    <row r="127" spans="1:3" s="2" customFormat="1" ht="13.5" customHeight="1">
      <c r="A127" s="266"/>
      <c r="B127" s="266"/>
      <c r="C127" s="266"/>
    </row>
    <row r="128" spans="1:3" s="2" customFormat="1" ht="13.5" customHeight="1">
      <c r="A128" s="266"/>
      <c r="B128" s="266"/>
      <c r="C128" s="266"/>
    </row>
    <row r="129" spans="1:3" s="2" customFormat="1" ht="13.5" customHeight="1">
      <c r="A129" s="266"/>
      <c r="B129" s="266"/>
      <c r="C129" s="266"/>
    </row>
    <row r="130" spans="1:3" s="2" customFormat="1" ht="13.5" customHeight="1">
      <c r="A130" s="266"/>
      <c r="B130" s="266"/>
      <c r="C130" s="266"/>
    </row>
    <row r="131" spans="1:3" s="2" customFormat="1" ht="13.5" customHeight="1">
      <c r="A131" s="266"/>
      <c r="B131" s="266"/>
      <c r="C131" s="266"/>
    </row>
    <row r="132" spans="1:3" s="2" customFormat="1" ht="13.5" customHeight="1">
      <c r="A132" s="266"/>
      <c r="B132" s="266"/>
      <c r="C132" s="266"/>
    </row>
    <row r="133" spans="1:3" s="2" customFormat="1" ht="13.5" customHeight="1">
      <c r="A133" s="266"/>
      <c r="B133" s="266"/>
      <c r="C133" s="266"/>
    </row>
    <row r="134" spans="1:3" s="2" customFormat="1" ht="13.5" customHeight="1">
      <c r="A134" s="266"/>
      <c r="B134" s="266"/>
      <c r="C134" s="266"/>
    </row>
    <row r="135" spans="1:3" s="2" customFormat="1" ht="13.5" customHeight="1">
      <c r="A135" s="266"/>
      <c r="B135" s="266"/>
      <c r="C135" s="266"/>
    </row>
    <row r="136" spans="1:69" ht="13.5">
      <c r="A136" s="231"/>
      <c r="B136" s="231"/>
      <c r="C136" s="231"/>
      <c r="D136" s="2"/>
      <c r="E136" s="2"/>
      <c r="F136" s="2"/>
      <c r="G136" s="2"/>
      <c r="H136" s="2"/>
      <c r="I136" s="2"/>
      <c r="J136" s="2"/>
      <c r="K136" s="2"/>
      <c r="L136" s="2"/>
      <c r="M136" s="2"/>
      <c r="N136" s="2"/>
      <c r="O136" s="2"/>
      <c r="P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1:69" ht="13.5">
      <c r="A137" s="231"/>
      <c r="B137" s="231"/>
      <c r="C137" s="231"/>
      <c r="D137" s="224"/>
      <c r="E137" s="2"/>
      <c r="F137" s="2"/>
      <c r="G137" s="2"/>
      <c r="H137" s="2"/>
      <c r="I137" s="2"/>
      <c r="J137" s="2"/>
      <c r="K137" s="2"/>
      <c r="L137" s="2"/>
      <c r="M137" s="2"/>
      <c r="N137" s="2"/>
      <c r="O137" s="2"/>
      <c r="P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1:69" ht="13.5">
      <c r="A138" s="231"/>
      <c r="B138" s="231"/>
      <c r="C138" s="231"/>
      <c r="D138" s="224"/>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1:69" ht="13.5">
      <c r="A139" s="231"/>
      <c r="B139" s="231"/>
      <c r="C139" s="231"/>
      <c r="D139" s="224"/>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1:69" ht="13.5">
      <c r="A140" s="231"/>
      <c r="B140" s="231"/>
      <c r="C140" s="231"/>
      <c r="D140" s="224"/>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1:69" ht="13.5">
      <c r="A141" s="231"/>
      <c r="B141" s="231"/>
      <c r="C141" s="231"/>
      <c r="D141" s="224"/>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1:69" ht="13.5">
      <c r="A142" s="231"/>
      <c r="B142" s="231"/>
      <c r="C142" s="231"/>
      <c r="D142" s="224"/>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1:69" ht="13.5">
      <c r="A143" s="231"/>
      <c r="B143" s="231"/>
      <c r="C143" s="231"/>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1:43" ht="13.5">
      <c r="A144" s="231"/>
      <c r="B144" s="231"/>
      <c r="C144" s="231"/>
      <c r="D144" s="224"/>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1:43" ht="13.5">
      <c r="A145" s="231"/>
      <c r="B145" s="231"/>
      <c r="C145" s="231"/>
      <c r="D145" s="224"/>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row>
    <row r="146" spans="1:43" ht="13.5">
      <c r="A146" s="231"/>
      <c r="B146" s="231"/>
      <c r="C146" s="231"/>
      <c r="D146" s="224"/>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1:43" ht="13.5">
      <c r="A147" s="231"/>
      <c r="B147" s="231"/>
      <c r="C147" s="231"/>
      <c r="D147" s="224"/>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row>
    <row r="148" spans="1:43" ht="13.5">
      <c r="A148" s="231"/>
      <c r="B148" s="231"/>
      <c r="C148" s="231"/>
      <c r="D148" s="224"/>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1:43" ht="13.5">
      <c r="A149" s="231"/>
      <c r="B149" s="231"/>
      <c r="C149" s="231"/>
      <c r="D149" s="224"/>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row>
    <row r="150" spans="1:43" ht="13.5">
      <c r="A150" s="231"/>
      <c r="B150" s="231"/>
      <c r="C150" s="231"/>
      <c r="D150" s="224"/>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spans="1:43" ht="13.5">
      <c r="A151" s="231"/>
      <c r="B151" s="231"/>
      <c r="C151" s="231"/>
      <c r="D151" s="224"/>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row>
    <row r="152" spans="1:43" ht="13.5">
      <c r="A152" s="231"/>
      <c r="B152" s="231"/>
      <c r="C152" s="231"/>
      <c r="D152" s="224"/>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spans="1:43" ht="13.5">
      <c r="A153" s="231"/>
      <c r="B153" s="231"/>
      <c r="C153" s="231"/>
      <c r="D153" s="224"/>
      <c r="E153" s="2"/>
      <c r="F153" s="2"/>
      <c r="G153" s="2"/>
      <c r="H153" s="2"/>
      <c r="I153" s="2"/>
      <c r="J153" s="2"/>
      <c r="K153" s="2"/>
      <c r="L153" s="2"/>
      <c r="M153" s="2"/>
      <c r="N153" s="2"/>
      <c r="O153" s="2"/>
      <c r="P153" s="2"/>
      <c r="Q153" s="2"/>
      <c r="R153" s="2"/>
      <c r="S153" s="2"/>
      <c r="T153" s="2"/>
      <c r="U153" s="2"/>
      <c r="V153" s="2"/>
      <c r="W153" s="2"/>
      <c r="X153" s="2"/>
      <c r="Y153" s="2"/>
      <c r="Z153" s="2"/>
      <c r="AG153" s="2"/>
      <c r="AH153" s="2"/>
      <c r="AI153" s="2"/>
      <c r="AJ153" s="2"/>
      <c r="AK153" s="2"/>
      <c r="AL153" s="2"/>
      <c r="AM153" s="2"/>
      <c r="AN153" s="2"/>
      <c r="AO153" s="2"/>
      <c r="AP153" s="2"/>
      <c r="AQ153" s="2"/>
    </row>
    <row r="154" spans="1:43" ht="13.5">
      <c r="A154" s="231"/>
      <c r="B154" s="231"/>
      <c r="C154" s="231"/>
      <c r="D154" s="224"/>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spans="1:43" ht="13.5">
      <c r="A155" s="231"/>
      <c r="B155" s="231"/>
      <c r="C155" s="231"/>
      <c r="D155" s="224"/>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row>
    <row r="156" spans="1:40" ht="13.5">
      <c r="A156" s="231"/>
      <c r="B156" s="231"/>
      <c r="C156" s="231"/>
      <c r="D156" s="224"/>
      <c r="E156" s="224"/>
      <c r="F156" s="224"/>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3" ht="13.5">
      <c r="A157" s="231"/>
      <c r="B157" s="231"/>
      <c r="C157" s="231"/>
      <c r="D157" s="224"/>
      <c r="E157" s="224"/>
      <c r="F157" s="224"/>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row>
    <row r="158" spans="1:43" ht="13.5">
      <c r="A158" s="231"/>
      <c r="B158" s="231"/>
      <c r="C158" s="231"/>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row>
    <row r="159" spans="1:43" ht="13.5">
      <c r="A159" s="231"/>
      <c r="B159" s="231"/>
      <c r="C159" s="231"/>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row>
    <row r="160" spans="1:43" ht="13.5">
      <c r="A160" s="231"/>
      <c r="B160" s="231"/>
      <c r="C160" s="231"/>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row>
    <row r="161" spans="1:43" ht="13.5">
      <c r="A161" s="231"/>
      <c r="B161" s="231"/>
      <c r="C161" s="231"/>
      <c r="R161" s="2"/>
      <c r="S161" s="2"/>
      <c r="T161" s="2"/>
      <c r="U161" s="2"/>
      <c r="V161" s="2"/>
      <c r="W161" s="2"/>
      <c r="X161" s="2"/>
      <c r="Y161" s="2"/>
      <c r="Z161" s="2"/>
      <c r="AG161" s="2"/>
      <c r="AH161" s="2"/>
      <c r="AI161" s="2"/>
      <c r="AJ161" s="2"/>
      <c r="AK161" s="2"/>
      <c r="AL161" s="2"/>
      <c r="AM161" s="2"/>
      <c r="AN161" s="2"/>
      <c r="AO161" s="2"/>
      <c r="AP161" s="2"/>
      <c r="AQ161" s="2"/>
    </row>
    <row r="162" spans="1:43" ht="13.5">
      <c r="A162" s="231"/>
      <c r="B162" s="231"/>
      <c r="C162" s="231"/>
      <c r="R162" s="2"/>
      <c r="S162" s="2"/>
      <c r="T162" s="2"/>
      <c r="U162" s="2"/>
      <c r="V162" s="2"/>
      <c r="W162" s="2"/>
      <c r="X162" s="2"/>
      <c r="Y162" s="2"/>
      <c r="Z162" s="2"/>
      <c r="AG162" s="2"/>
      <c r="AH162" s="2"/>
      <c r="AI162" s="2"/>
      <c r="AJ162" s="2"/>
      <c r="AK162" s="2"/>
      <c r="AL162" s="2"/>
      <c r="AM162" s="2"/>
      <c r="AN162" s="2"/>
      <c r="AO162" s="2"/>
      <c r="AP162" s="2"/>
      <c r="AQ162" s="2"/>
    </row>
    <row r="163" spans="1:43" ht="13.5">
      <c r="A163" s="231"/>
      <c r="B163" s="231"/>
      <c r="C163" s="231"/>
      <c r="R163" s="2"/>
      <c r="S163" s="2"/>
      <c r="T163" s="2"/>
      <c r="U163" s="2"/>
      <c r="V163" s="2"/>
      <c r="W163" s="2"/>
      <c r="X163" s="2"/>
      <c r="Y163" s="2"/>
      <c r="Z163" s="2"/>
      <c r="AG163" s="2"/>
      <c r="AH163" s="2"/>
      <c r="AI163" s="2"/>
      <c r="AJ163" s="2"/>
      <c r="AK163" s="2"/>
      <c r="AL163" s="2"/>
      <c r="AM163" s="2"/>
      <c r="AN163" s="2"/>
      <c r="AO163" s="2"/>
      <c r="AP163" s="2"/>
      <c r="AQ163" s="2"/>
    </row>
    <row r="164" spans="1:26" ht="13.5">
      <c r="A164" s="231"/>
      <c r="B164" s="231"/>
      <c r="C164" s="231"/>
      <c r="R164" s="2"/>
      <c r="S164" s="2"/>
      <c r="T164" s="2"/>
      <c r="U164" s="2"/>
      <c r="V164" s="2"/>
      <c r="W164" s="2"/>
      <c r="X164" s="2"/>
      <c r="Y164" s="2"/>
      <c r="Z164" s="2"/>
    </row>
    <row r="165" spans="1:26" ht="13.5">
      <c r="A165" s="231"/>
      <c r="B165" s="231"/>
      <c r="C165" s="231"/>
      <c r="R165" s="2"/>
      <c r="S165" s="2"/>
      <c r="T165" s="2"/>
      <c r="U165" s="2"/>
      <c r="V165" s="2"/>
      <c r="W165" s="2"/>
      <c r="X165" s="2"/>
      <c r="Y165" s="2"/>
      <c r="Z165" s="2"/>
    </row>
    <row r="166" spans="1:26" ht="13.5">
      <c r="A166" s="231"/>
      <c r="B166" s="231"/>
      <c r="C166" s="231"/>
      <c r="R166" s="2"/>
      <c r="S166" s="2"/>
      <c r="T166" s="2"/>
      <c r="U166" s="2"/>
      <c r="V166" s="2"/>
      <c r="W166" s="2"/>
      <c r="X166" s="2"/>
      <c r="Y166" s="2"/>
      <c r="Z166" s="2"/>
    </row>
    <row r="167" spans="1:26" ht="13.5">
      <c r="A167" s="231"/>
      <c r="B167" s="231"/>
      <c r="C167" s="231"/>
      <c r="R167" s="2"/>
      <c r="S167" s="2"/>
      <c r="T167" s="2"/>
      <c r="U167" s="2"/>
      <c r="V167" s="2"/>
      <c r="W167" s="2"/>
      <c r="X167" s="2"/>
      <c r="Y167" s="2"/>
      <c r="Z167" s="2"/>
    </row>
    <row r="168" spans="18:26" ht="13.5">
      <c r="R168" s="2"/>
      <c r="S168" s="2"/>
      <c r="T168" s="2"/>
      <c r="U168" s="2"/>
      <c r="V168" s="2"/>
      <c r="W168" s="2"/>
      <c r="X168" s="2"/>
      <c r="Y168" s="2"/>
      <c r="Z168" s="2"/>
    </row>
    <row r="169" spans="18:26" ht="13.5">
      <c r="R169" s="2"/>
      <c r="S169" s="2"/>
      <c r="T169" s="2"/>
      <c r="U169" s="2"/>
      <c r="V169" s="2"/>
      <c r="W169" s="2"/>
      <c r="X169" s="2"/>
      <c r="Y169" s="2"/>
      <c r="Z169" s="2"/>
    </row>
    <row r="170" spans="18:32" ht="13.5">
      <c r="R170" s="2"/>
      <c r="S170" s="2"/>
      <c r="T170" s="2"/>
      <c r="U170" s="2"/>
      <c r="V170" s="2"/>
      <c r="W170" s="2"/>
      <c r="X170" s="2"/>
      <c r="Y170" s="2"/>
      <c r="AA170" s="2"/>
      <c r="AB170" s="2"/>
      <c r="AC170" s="2"/>
      <c r="AD170" s="2"/>
      <c r="AE170" s="2"/>
      <c r="AF170" s="2"/>
    </row>
    <row r="171" spans="18:25" ht="13.5">
      <c r="R171" s="2"/>
      <c r="S171" s="2"/>
      <c r="T171" s="2"/>
      <c r="U171" s="2"/>
      <c r="V171" s="2"/>
      <c r="W171" s="2"/>
      <c r="X171" s="2"/>
      <c r="Y171" s="2"/>
    </row>
    <row r="172" spans="18:25" ht="13.5">
      <c r="R172" s="2"/>
      <c r="S172" s="2"/>
      <c r="T172" s="2"/>
      <c r="U172" s="2"/>
      <c r="V172" s="2"/>
      <c r="W172" s="2"/>
      <c r="X172" s="2"/>
      <c r="Y172" s="2"/>
    </row>
    <row r="173" spans="18:25" ht="13.5">
      <c r="R173" s="2"/>
      <c r="S173" s="2"/>
      <c r="T173" s="2"/>
      <c r="U173" s="2"/>
      <c r="V173" s="2"/>
      <c r="W173" s="2"/>
      <c r="X173" s="2"/>
      <c r="Y173" s="2"/>
    </row>
    <row r="174" spans="18:40" ht="13.5">
      <c r="R174" s="2"/>
      <c r="S174" s="2"/>
      <c r="T174" s="2"/>
      <c r="U174" s="2"/>
      <c r="V174" s="2"/>
      <c r="W174" s="2"/>
      <c r="X174" s="2"/>
      <c r="Y174" s="2"/>
      <c r="AG174" s="2"/>
      <c r="AH174" s="2"/>
      <c r="AI174" s="2"/>
      <c r="AJ174" s="2"/>
      <c r="AK174" s="2"/>
      <c r="AL174" s="2"/>
      <c r="AM174" s="2"/>
      <c r="AN174" s="2"/>
    </row>
    <row r="175" spans="18:25" ht="13.5">
      <c r="R175" s="2"/>
      <c r="S175" s="2"/>
      <c r="T175" s="2"/>
      <c r="U175" s="2"/>
      <c r="V175" s="2"/>
      <c r="W175" s="2"/>
      <c r="X175" s="2"/>
      <c r="Y175" s="2"/>
    </row>
    <row r="176" spans="18:25" ht="13.5">
      <c r="R176" s="2"/>
      <c r="S176" s="2"/>
      <c r="T176" s="2"/>
      <c r="U176" s="2"/>
      <c r="V176" s="2"/>
      <c r="W176" s="2"/>
      <c r="X176" s="2"/>
      <c r="Y176" s="2"/>
    </row>
    <row r="177" spans="18:25" ht="13.5">
      <c r="R177" s="2"/>
      <c r="S177" s="2"/>
      <c r="T177" s="2"/>
      <c r="U177" s="2"/>
      <c r="V177" s="2"/>
      <c r="W177" s="2"/>
      <c r="X177" s="2"/>
      <c r="Y177" s="2"/>
    </row>
    <row r="178" spans="18:25" ht="13.5">
      <c r="R178" s="2"/>
      <c r="S178" s="2"/>
      <c r="T178" s="2"/>
      <c r="U178" s="2"/>
      <c r="V178" s="2"/>
      <c r="W178" s="2"/>
      <c r="X178" s="2"/>
      <c r="Y178" s="2"/>
    </row>
    <row r="179" spans="18:25" ht="13.5">
      <c r="R179" s="2"/>
      <c r="S179" s="2"/>
      <c r="T179" s="2"/>
      <c r="U179" s="2"/>
      <c r="V179" s="2"/>
      <c r="W179" s="2"/>
      <c r="X179" s="2"/>
      <c r="Y179" s="2"/>
    </row>
    <row r="180" spans="18:21" ht="13.5">
      <c r="R180" s="2"/>
      <c r="U180" s="2"/>
    </row>
    <row r="181" spans="18:22" ht="13.5">
      <c r="R181" s="2"/>
      <c r="U181" s="2"/>
      <c r="V181" s="2"/>
    </row>
    <row r="182" spans="21:22" ht="13.5">
      <c r="U182" s="2"/>
      <c r="V182" s="2"/>
    </row>
    <row r="183" spans="21:22" ht="13.5">
      <c r="U183" s="2"/>
      <c r="V183" s="2"/>
    </row>
    <row r="184" spans="21:22" ht="13.5">
      <c r="U184" s="2"/>
      <c r="V184" s="2"/>
    </row>
    <row r="185" spans="20:22" ht="13.5">
      <c r="T185" s="2"/>
      <c r="U185" s="2"/>
      <c r="V185" s="2"/>
    </row>
    <row r="186" spans="20:22" ht="13.5">
      <c r="T186" s="2"/>
      <c r="U186" s="2"/>
      <c r="V186" s="2"/>
    </row>
    <row r="187" spans="20:22" ht="13.5">
      <c r="T187" s="2"/>
      <c r="U187" s="2"/>
      <c r="V187" s="2"/>
    </row>
    <row r="202" spans="33:38" ht="13.5">
      <c r="AG202" s="2"/>
      <c r="AH202" s="2"/>
      <c r="AI202" s="2"/>
      <c r="AJ202" s="2"/>
      <c r="AK202" s="2"/>
      <c r="AL202" s="2"/>
    </row>
    <row r="203" spans="33:38" ht="13.5">
      <c r="AG203" s="2"/>
      <c r="AH203" s="2"/>
      <c r="AI203" s="2"/>
      <c r="AJ203" s="2"/>
      <c r="AK203" s="2"/>
      <c r="AL203" s="2"/>
    </row>
    <row r="204" spans="33:38" ht="13.5">
      <c r="AG204" s="2"/>
      <c r="AH204" s="2"/>
      <c r="AI204" s="2"/>
      <c r="AJ204" s="2"/>
      <c r="AK204" s="2"/>
      <c r="AL204" s="2"/>
    </row>
    <row r="205" spans="33:38" ht="13.5">
      <c r="AG205" s="2"/>
      <c r="AH205" s="2"/>
      <c r="AI205" s="2"/>
      <c r="AJ205" s="2"/>
      <c r="AK205" s="2"/>
      <c r="AL205" s="2"/>
    </row>
    <row r="206" spans="33:38" ht="13.5">
      <c r="AG206" s="2"/>
      <c r="AH206" s="2"/>
      <c r="AI206" s="2"/>
      <c r="AJ206" s="2"/>
      <c r="AK206" s="2"/>
      <c r="AL206" s="2"/>
    </row>
    <row r="207" spans="33:38" ht="13.5">
      <c r="AG207" s="2"/>
      <c r="AH207" s="2"/>
      <c r="AI207" s="2"/>
      <c r="AJ207" s="2"/>
      <c r="AK207" s="2"/>
      <c r="AL207" s="2"/>
    </row>
  </sheetData>
  <sheetProtection selectLockedCells="1" selectUnlockedCells="1"/>
  <printOptions horizontalCentered="1" verticalCentered="1"/>
  <pageMargins left="0.7479166666666667" right="0.7479166666666667" top="0.25" bottom="0.25" header="0.5118055555555555" footer="0.5118055555555555"/>
  <pageSetup fitToHeight="1" fitToWidth="1" horizontalDpi="300" verticalDpi="300" orientation="landscape" paperSize="3" r:id="rId4"/>
  <drawing r:id="rId3"/>
  <legacyDrawing r:id="rId2"/>
</worksheet>
</file>

<file path=xl/worksheets/sheet3.xml><?xml version="1.0" encoding="utf-8"?>
<worksheet xmlns="http://schemas.openxmlformats.org/spreadsheetml/2006/main" xmlns:r="http://schemas.openxmlformats.org/officeDocument/2006/relationships">
  <sheetPr codeName="Sheet4"/>
  <dimension ref="B1:AF80"/>
  <sheetViews>
    <sheetView showGridLines="0" zoomScalePageLayoutView="0" workbookViewId="0" topLeftCell="A1">
      <selection activeCell="A1" sqref="A1"/>
    </sheetView>
  </sheetViews>
  <sheetFormatPr defaultColWidth="9.00390625" defaultRowHeight="13.5"/>
  <cols>
    <col min="1" max="1" width="4.25390625" style="231" customWidth="1"/>
  </cols>
  <sheetData>
    <row r="1" spans="2:32" ht="13.5" customHeight="1">
      <c r="B1" s="326"/>
      <c r="C1" s="96"/>
      <c r="D1" s="97"/>
      <c r="E1" s="97"/>
      <c r="F1" s="97"/>
      <c r="G1" s="97"/>
      <c r="H1" s="97"/>
      <c r="I1" s="97"/>
      <c r="J1" s="97"/>
      <c r="K1" s="97"/>
      <c r="L1" s="97"/>
      <c r="M1" s="97"/>
      <c r="N1" s="97"/>
      <c r="O1" s="97"/>
      <c r="P1" s="97"/>
      <c r="Q1" s="1"/>
      <c r="R1" s="1"/>
      <c r="S1" s="1"/>
      <c r="T1" s="1"/>
      <c r="U1" s="1"/>
      <c r="V1" s="1"/>
      <c r="W1" s="1"/>
      <c r="X1" s="1"/>
      <c r="Y1" s="1"/>
      <c r="Z1" s="1"/>
      <c r="AA1" s="1"/>
      <c r="AB1" s="1"/>
      <c r="AC1" s="1"/>
      <c r="AD1" s="1"/>
      <c r="AE1" s="1"/>
      <c r="AF1" s="1"/>
    </row>
    <row r="2" spans="2:32" ht="13.5" customHeight="1">
      <c r="B2" s="1"/>
      <c r="C2" s="97"/>
      <c r="D2" s="97"/>
      <c r="E2" s="97"/>
      <c r="F2" s="97"/>
      <c r="G2" s="97"/>
      <c r="H2" s="97"/>
      <c r="I2" s="97"/>
      <c r="J2" s="97"/>
      <c r="K2" s="97"/>
      <c r="L2" s="97"/>
      <c r="M2" s="97"/>
      <c r="N2" s="97"/>
      <c r="O2" s="97"/>
      <c r="P2" s="1"/>
      <c r="Q2" s="1"/>
      <c r="R2" s="1"/>
      <c r="S2" s="1"/>
      <c r="T2" s="1"/>
      <c r="U2" s="1"/>
      <c r="V2" s="1"/>
      <c r="W2" s="1"/>
      <c r="X2" s="1"/>
      <c r="Y2" s="1"/>
      <c r="Z2" s="1"/>
      <c r="AA2" s="1"/>
      <c r="AB2" s="1"/>
      <c r="AC2" s="1"/>
      <c r="AD2" s="1"/>
      <c r="AE2" s="1"/>
      <c r="AF2" s="1"/>
    </row>
    <row r="3" spans="2:32" ht="13.5" customHeight="1">
      <c r="B3" s="1"/>
      <c r="C3" s="98" t="s">
        <v>24</v>
      </c>
      <c r="D3" s="231"/>
      <c r="E3" s="1"/>
      <c r="F3" s="97"/>
      <c r="G3" s="97"/>
      <c r="H3" s="97"/>
      <c r="I3" s="97"/>
      <c r="J3" s="98" t="s">
        <v>25</v>
      </c>
      <c r="K3" s="231"/>
      <c r="L3" s="1"/>
      <c r="M3" s="97"/>
      <c r="N3" s="97"/>
      <c r="O3" s="97"/>
      <c r="P3" s="1"/>
      <c r="Q3" s="1"/>
      <c r="R3" s="1"/>
      <c r="S3" s="1"/>
      <c r="T3" s="1"/>
      <c r="U3" s="1"/>
      <c r="V3" s="1"/>
      <c r="W3" s="1"/>
      <c r="X3" s="1"/>
      <c r="Y3" s="1"/>
      <c r="Z3" s="1"/>
      <c r="AA3" s="1"/>
      <c r="AB3" s="1"/>
      <c r="AC3" s="1"/>
      <c r="AD3" s="1"/>
      <c r="AE3" s="1"/>
      <c r="AF3" s="1"/>
    </row>
    <row r="4" spans="2:32" ht="13.5" customHeight="1">
      <c r="B4" s="1"/>
      <c r="C4" s="98" t="s">
        <v>26</v>
      </c>
      <c r="D4" s="231"/>
      <c r="E4" s="1"/>
      <c r="F4" s="99"/>
      <c r="G4" s="99"/>
      <c r="H4" s="99"/>
      <c r="I4" s="97"/>
      <c r="J4" s="98" t="s">
        <v>27</v>
      </c>
      <c r="K4" s="231"/>
      <c r="L4" s="1"/>
      <c r="M4" s="97"/>
      <c r="N4" s="97"/>
      <c r="O4" s="97"/>
      <c r="P4" s="1"/>
      <c r="Q4" s="1"/>
      <c r="R4" s="1"/>
      <c r="S4" s="1"/>
      <c r="T4" s="1"/>
      <c r="U4" s="1"/>
      <c r="V4" s="1"/>
      <c r="W4" s="1"/>
      <c r="X4" s="1"/>
      <c r="Y4" s="1"/>
      <c r="Z4" s="1"/>
      <c r="AA4" s="1"/>
      <c r="AB4" s="1"/>
      <c r="AC4" s="1"/>
      <c r="AD4" s="1"/>
      <c r="AE4" s="1"/>
      <c r="AF4" s="1"/>
    </row>
    <row r="5" spans="2:32" ht="13.5" customHeight="1">
      <c r="B5" s="1"/>
      <c r="C5" s="97"/>
      <c r="D5" s="97"/>
      <c r="E5" s="97"/>
      <c r="F5" s="97"/>
      <c r="G5" s="97"/>
      <c r="H5" s="97"/>
      <c r="I5" s="97"/>
      <c r="J5" s="97"/>
      <c r="K5" s="97"/>
      <c r="L5" s="97"/>
      <c r="M5" s="97"/>
      <c r="N5" s="97"/>
      <c r="O5" s="97"/>
      <c r="P5" s="1"/>
      <c r="Q5" s="1"/>
      <c r="R5" s="1"/>
      <c r="S5" s="1"/>
      <c r="T5" s="1"/>
      <c r="U5" s="1"/>
      <c r="V5" s="1"/>
      <c r="W5" s="1"/>
      <c r="X5" s="1"/>
      <c r="Y5" s="1"/>
      <c r="Z5" s="1"/>
      <c r="AA5" s="1"/>
      <c r="AB5" s="1"/>
      <c r="AC5" s="1"/>
      <c r="AD5" s="1"/>
      <c r="AE5" s="1"/>
      <c r="AF5" s="1"/>
    </row>
    <row r="6" spans="2:32" ht="13.5" customHeight="1">
      <c r="B6" s="1"/>
      <c r="C6" s="97"/>
      <c r="D6" s="97"/>
      <c r="E6" s="97"/>
      <c r="F6" s="97"/>
      <c r="G6" s="97"/>
      <c r="H6" s="97"/>
      <c r="I6" s="97"/>
      <c r="J6" s="97"/>
      <c r="K6" s="97"/>
      <c r="L6" s="97"/>
      <c r="M6" s="97"/>
      <c r="N6" s="97"/>
      <c r="O6" s="97"/>
      <c r="P6" s="1"/>
      <c r="Q6" s="1"/>
      <c r="R6" s="1"/>
      <c r="S6" s="1"/>
      <c r="T6" s="1"/>
      <c r="U6" s="1"/>
      <c r="V6" s="1"/>
      <c r="W6" s="1"/>
      <c r="X6" s="1"/>
      <c r="Y6" s="1"/>
      <c r="Z6" s="1"/>
      <c r="AA6" s="1"/>
      <c r="AB6" s="1"/>
      <c r="AC6" s="1"/>
      <c r="AD6" s="1"/>
      <c r="AE6" s="1"/>
      <c r="AF6" s="1"/>
    </row>
    <row r="7" spans="2:32" ht="13.5" customHeight="1">
      <c r="B7" s="1"/>
      <c r="C7" s="97"/>
      <c r="D7" s="97"/>
      <c r="E7" s="97"/>
      <c r="F7" s="97"/>
      <c r="G7" s="97"/>
      <c r="H7" s="97"/>
      <c r="I7" s="97"/>
      <c r="J7" s="97"/>
      <c r="K7" s="97"/>
      <c r="L7" s="97"/>
      <c r="M7" s="97"/>
      <c r="N7" s="97"/>
      <c r="O7" s="97"/>
      <c r="P7" s="1"/>
      <c r="Q7" s="1"/>
      <c r="R7" s="1"/>
      <c r="S7" s="1"/>
      <c r="T7" s="1"/>
      <c r="U7" s="1"/>
      <c r="V7" s="1"/>
      <c r="W7" s="1"/>
      <c r="X7" s="1"/>
      <c r="Y7" s="1"/>
      <c r="Z7" s="1"/>
      <c r="AA7" s="1"/>
      <c r="AB7" s="1"/>
      <c r="AC7" s="1"/>
      <c r="AD7" s="1"/>
      <c r="AE7" s="1"/>
      <c r="AF7" s="1"/>
    </row>
    <row r="8" spans="2:32" ht="13.5" customHeight="1">
      <c r="B8" s="1"/>
      <c r="C8" s="97"/>
      <c r="D8" s="97"/>
      <c r="E8" s="97"/>
      <c r="F8" s="97"/>
      <c r="G8" s="97"/>
      <c r="H8" s="97"/>
      <c r="I8" s="97"/>
      <c r="J8" s="97"/>
      <c r="K8" s="97"/>
      <c r="L8" s="97"/>
      <c r="M8" s="97"/>
      <c r="N8" s="97"/>
      <c r="O8" s="97"/>
      <c r="P8" s="1"/>
      <c r="Q8" s="1"/>
      <c r="R8" s="1"/>
      <c r="S8" s="1"/>
      <c r="T8" s="1"/>
      <c r="U8" s="1"/>
      <c r="V8" s="1"/>
      <c r="W8" s="1"/>
      <c r="X8" s="1"/>
      <c r="Y8" s="1"/>
      <c r="Z8" s="1"/>
      <c r="AA8" s="1"/>
      <c r="AB8" s="1"/>
      <c r="AC8" s="1"/>
      <c r="AD8" s="1"/>
      <c r="AE8" s="1"/>
      <c r="AF8" s="1"/>
    </row>
    <row r="9" spans="2:32" ht="13.5" customHeight="1">
      <c r="B9" s="1"/>
      <c r="C9" s="97"/>
      <c r="D9" s="97"/>
      <c r="E9" s="97"/>
      <c r="F9" s="97"/>
      <c r="G9" s="97"/>
      <c r="H9" s="97"/>
      <c r="I9" s="97"/>
      <c r="J9" s="97"/>
      <c r="K9" s="97"/>
      <c r="L9" s="97"/>
      <c r="M9" s="97"/>
      <c r="N9" s="97"/>
      <c r="O9" s="97"/>
      <c r="P9" s="1"/>
      <c r="Q9" s="1"/>
      <c r="R9" s="1"/>
      <c r="S9" s="1"/>
      <c r="T9" s="1"/>
      <c r="U9" s="1"/>
      <c r="V9" s="1"/>
      <c r="W9" s="1"/>
      <c r="X9" s="1"/>
      <c r="Y9" s="1"/>
      <c r="Z9" s="1"/>
      <c r="AA9" s="1"/>
      <c r="AB9" s="1"/>
      <c r="AC9" s="1"/>
      <c r="AD9" s="1"/>
      <c r="AE9" s="1"/>
      <c r="AF9" s="1"/>
    </row>
    <row r="10" spans="2:32" ht="13.5" customHeight="1">
      <c r="B10" s="1"/>
      <c r="C10" s="97"/>
      <c r="D10" s="97"/>
      <c r="E10" s="97"/>
      <c r="F10" s="97"/>
      <c r="G10" s="97"/>
      <c r="H10" s="97"/>
      <c r="I10" s="97"/>
      <c r="J10" s="97"/>
      <c r="K10" s="97"/>
      <c r="L10" s="97"/>
      <c r="M10" s="97"/>
      <c r="N10" s="97"/>
      <c r="O10" s="97"/>
      <c r="P10" s="1"/>
      <c r="Q10" s="1"/>
      <c r="R10" s="1"/>
      <c r="S10" s="1"/>
      <c r="T10" s="1"/>
      <c r="U10" s="1"/>
      <c r="V10" s="1"/>
      <c r="W10" s="1"/>
      <c r="X10" s="1"/>
      <c r="Y10" s="1"/>
      <c r="Z10" s="1"/>
      <c r="AA10" s="1"/>
      <c r="AB10" s="1"/>
      <c r="AC10" s="1"/>
      <c r="AD10" s="1"/>
      <c r="AE10" s="1"/>
      <c r="AF10" s="1"/>
    </row>
    <row r="11" spans="2:32" ht="13.5" customHeight="1">
      <c r="B11" s="1"/>
      <c r="C11" s="97"/>
      <c r="D11" s="97"/>
      <c r="E11" s="97"/>
      <c r="F11" s="97"/>
      <c r="G11" s="97"/>
      <c r="H11" s="97"/>
      <c r="I11" s="97"/>
      <c r="J11" s="97"/>
      <c r="K11" s="97"/>
      <c r="L11" s="97"/>
      <c r="M11" s="97"/>
      <c r="N11" s="97"/>
      <c r="O11" s="97"/>
      <c r="P11" s="1"/>
      <c r="Q11" s="1"/>
      <c r="R11" s="1"/>
      <c r="S11" s="1"/>
      <c r="T11" s="1"/>
      <c r="U11" s="1"/>
      <c r="V11" s="1"/>
      <c r="W11" s="1"/>
      <c r="X11" s="1"/>
      <c r="Y11" s="1"/>
      <c r="Z11" s="1"/>
      <c r="AA11" s="1"/>
      <c r="AB11" s="1"/>
      <c r="AC11" s="1"/>
      <c r="AD11" s="1"/>
      <c r="AE11" s="1"/>
      <c r="AF11" s="1"/>
    </row>
    <row r="12" spans="2:32" ht="13.5" customHeight="1">
      <c r="B12" s="1"/>
      <c r="C12" s="97"/>
      <c r="D12" s="97"/>
      <c r="E12" s="97"/>
      <c r="F12" s="97"/>
      <c r="G12" s="97"/>
      <c r="H12" s="97"/>
      <c r="I12" s="97"/>
      <c r="J12" s="97"/>
      <c r="K12" s="97"/>
      <c r="L12" s="97"/>
      <c r="M12" s="97"/>
      <c r="N12" s="97"/>
      <c r="O12" s="97"/>
      <c r="P12" s="1"/>
      <c r="Q12" s="1"/>
      <c r="R12" s="1"/>
      <c r="S12" s="1"/>
      <c r="T12" s="1"/>
      <c r="U12" s="1"/>
      <c r="V12" s="1"/>
      <c r="W12" s="1"/>
      <c r="X12" s="1"/>
      <c r="Y12" s="1"/>
      <c r="Z12" s="1"/>
      <c r="AA12" s="1"/>
      <c r="AB12" s="1"/>
      <c r="AC12" s="1"/>
      <c r="AD12" s="1"/>
      <c r="AE12" s="1"/>
      <c r="AF12" s="1"/>
    </row>
    <row r="13" spans="2:32" ht="13.5" customHeight="1">
      <c r="B13" s="1"/>
      <c r="C13" s="97"/>
      <c r="D13" s="97"/>
      <c r="E13" s="97"/>
      <c r="F13" s="97"/>
      <c r="G13" s="97"/>
      <c r="H13" s="97"/>
      <c r="I13" s="97"/>
      <c r="J13" s="97"/>
      <c r="K13" s="97"/>
      <c r="L13" s="97"/>
      <c r="M13" s="97"/>
      <c r="N13" s="97"/>
      <c r="O13" s="97"/>
      <c r="P13" s="1"/>
      <c r="Q13" s="1"/>
      <c r="R13" s="1"/>
      <c r="S13" s="1"/>
      <c r="T13" s="1"/>
      <c r="U13" s="1"/>
      <c r="V13" s="1"/>
      <c r="W13" s="1"/>
      <c r="X13" s="1"/>
      <c r="Y13" s="1"/>
      <c r="Z13" s="1"/>
      <c r="AA13" s="1"/>
      <c r="AB13" s="1"/>
      <c r="AC13" s="1"/>
      <c r="AD13" s="1"/>
      <c r="AE13" s="1"/>
      <c r="AF13" s="1"/>
    </row>
    <row r="14" spans="2:32" ht="13.5" customHeight="1">
      <c r="B14" s="1"/>
      <c r="C14" s="97"/>
      <c r="D14" s="97"/>
      <c r="E14" s="97"/>
      <c r="F14" s="97"/>
      <c r="G14" s="97"/>
      <c r="H14" s="97"/>
      <c r="I14" s="97"/>
      <c r="J14" s="97"/>
      <c r="K14" s="97"/>
      <c r="L14" s="97"/>
      <c r="M14" s="97"/>
      <c r="N14" s="97"/>
      <c r="O14" s="97"/>
      <c r="P14" s="1"/>
      <c r="Q14" s="1"/>
      <c r="R14" s="1"/>
      <c r="S14" s="1"/>
      <c r="T14" s="1"/>
      <c r="U14" s="1"/>
      <c r="V14" s="1"/>
      <c r="W14" s="1"/>
      <c r="X14" s="1"/>
      <c r="Y14" s="1"/>
      <c r="Z14" s="1"/>
      <c r="AA14" s="1"/>
      <c r="AB14" s="1"/>
      <c r="AC14" s="1"/>
      <c r="AD14" s="1"/>
      <c r="AE14" s="1"/>
      <c r="AF14" s="1"/>
    </row>
    <row r="15" spans="2:32" ht="13.5" customHeight="1">
      <c r="B15" s="1"/>
      <c r="C15" s="97"/>
      <c r="D15" s="97"/>
      <c r="E15" s="97"/>
      <c r="F15" s="97"/>
      <c r="G15" s="97"/>
      <c r="H15" s="97"/>
      <c r="I15" s="97"/>
      <c r="J15" s="97"/>
      <c r="K15" s="97"/>
      <c r="L15" s="97"/>
      <c r="M15" s="97"/>
      <c r="N15" s="97"/>
      <c r="O15" s="97"/>
      <c r="P15" s="1"/>
      <c r="Q15" s="1"/>
      <c r="R15" s="1"/>
      <c r="S15" s="1"/>
      <c r="T15" s="1"/>
      <c r="U15" s="1"/>
      <c r="V15" s="1"/>
      <c r="W15" s="1"/>
      <c r="X15" s="1"/>
      <c r="Y15" s="1"/>
      <c r="Z15" s="1"/>
      <c r="AA15" s="1"/>
      <c r="AB15" s="1"/>
      <c r="AC15" s="1"/>
      <c r="AD15" s="1"/>
      <c r="AE15" s="1"/>
      <c r="AF15" s="1"/>
    </row>
    <row r="16" spans="2:32" ht="13.5" customHeight="1">
      <c r="B16" s="1"/>
      <c r="C16" s="97"/>
      <c r="D16" s="97"/>
      <c r="E16" s="97"/>
      <c r="F16" s="97"/>
      <c r="G16" s="97"/>
      <c r="H16" s="97"/>
      <c r="I16" s="97"/>
      <c r="J16" s="97"/>
      <c r="K16" s="97"/>
      <c r="L16" s="97"/>
      <c r="M16" s="97"/>
      <c r="N16" s="97"/>
      <c r="O16" s="97"/>
      <c r="P16" s="1"/>
      <c r="Q16" s="1"/>
      <c r="R16" s="1"/>
      <c r="S16" s="1"/>
      <c r="T16" s="1"/>
      <c r="U16" s="1"/>
      <c r="V16" s="1"/>
      <c r="W16" s="1"/>
      <c r="X16" s="1"/>
      <c r="Y16" s="1"/>
      <c r="Z16" s="1"/>
      <c r="AA16" s="1"/>
      <c r="AB16" s="1"/>
      <c r="AC16" s="1"/>
      <c r="AD16" s="1"/>
      <c r="AE16" s="1"/>
      <c r="AF16" s="1"/>
    </row>
    <row r="17" spans="2:32" ht="13.5" customHeight="1">
      <c r="B17" s="1"/>
      <c r="C17" s="97"/>
      <c r="D17" s="97"/>
      <c r="E17" s="97"/>
      <c r="F17" s="97"/>
      <c r="G17" s="97"/>
      <c r="H17" s="97"/>
      <c r="I17" s="97"/>
      <c r="J17" s="97"/>
      <c r="K17" s="97"/>
      <c r="L17" s="97"/>
      <c r="M17" s="97"/>
      <c r="N17" s="97"/>
      <c r="O17" s="97"/>
      <c r="P17" s="1"/>
      <c r="Q17" s="1"/>
      <c r="R17" s="1"/>
      <c r="S17" s="1"/>
      <c r="T17" s="1"/>
      <c r="U17" s="1"/>
      <c r="V17" s="1"/>
      <c r="W17" s="1"/>
      <c r="X17" s="1"/>
      <c r="Y17" s="1"/>
      <c r="Z17" s="1"/>
      <c r="AA17" s="1"/>
      <c r="AB17" s="1"/>
      <c r="AC17" s="1"/>
      <c r="AD17" s="1"/>
      <c r="AE17" s="1"/>
      <c r="AF17" s="1"/>
    </row>
    <row r="18" spans="2:32" ht="13.5" customHeight="1">
      <c r="B18" s="1"/>
      <c r="C18" s="97"/>
      <c r="D18" s="97"/>
      <c r="E18" s="97"/>
      <c r="F18" s="97"/>
      <c r="G18" s="97"/>
      <c r="H18" s="97"/>
      <c r="I18" s="97"/>
      <c r="J18" s="97"/>
      <c r="K18" s="97"/>
      <c r="L18" s="97"/>
      <c r="M18" s="97"/>
      <c r="N18" s="97"/>
      <c r="O18" s="97"/>
      <c r="P18" s="1"/>
      <c r="Q18" s="1"/>
      <c r="R18" s="1"/>
      <c r="S18" s="1"/>
      <c r="T18" s="1"/>
      <c r="U18" s="1"/>
      <c r="V18" s="1"/>
      <c r="W18" s="1"/>
      <c r="X18" s="1"/>
      <c r="Y18" s="1"/>
      <c r="Z18" s="1"/>
      <c r="AA18" s="1"/>
      <c r="AB18" s="1"/>
      <c r="AC18" s="1"/>
      <c r="AD18" s="1"/>
      <c r="AE18" s="1"/>
      <c r="AF18" s="1"/>
    </row>
    <row r="19" spans="2:32" ht="13.5" customHeight="1">
      <c r="B19" s="1"/>
      <c r="C19" s="97"/>
      <c r="D19" s="97"/>
      <c r="E19" s="97"/>
      <c r="F19" s="97"/>
      <c r="G19" s="97"/>
      <c r="H19" s="97"/>
      <c r="I19" s="97"/>
      <c r="J19" s="97"/>
      <c r="K19" s="97"/>
      <c r="L19" s="97"/>
      <c r="M19" s="97"/>
      <c r="N19" s="97"/>
      <c r="O19" s="97"/>
      <c r="P19" s="1"/>
      <c r="Q19" s="1"/>
      <c r="R19" s="1"/>
      <c r="S19" s="1"/>
      <c r="T19" s="1"/>
      <c r="U19" s="1"/>
      <c r="V19" s="1"/>
      <c r="W19" s="1"/>
      <c r="X19" s="1"/>
      <c r="Y19" s="1"/>
      <c r="Z19" s="1"/>
      <c r="AA19" s="1"/>
      <c r="AB19" s="1"/>
      <c r="AC19" s="1"/>
      <c r="AD19" s="1"/>
      <c r="AE19" s="1"/>
      <c r="AF19" s="1"/>
    </row>
    <row r="20" spans="2:32" ht="13.5" customHeight="1">
      <c r="B20" s="1"/>
      <c r="C20" s="97"/>
      <c r="D20" s="97"/>
      <c r="E20" s="97"/>
      <c r="F20" s="97"/>
      <c r="G20" s="97"/>
      <c r="H20" s="97"/>
      <c r="I20" s="97"/>
      <c r="J20" s="97"/>
      <c r="K20" s="97"/>
      <c r="L20" s="97"/>
      <c r="M20" s="97"/>
      <c r="N20" s="97"/>
      <c r="O20" s="97"/>
      <c r="P20" s="1"/>
      <c r="Q20" s="1"/>
      <c r="R20" s="1"/>
      <c r="S20" s="1"/>
      <c r="T20" s="1"/>
      <c r="U20" s="1"/>
      <c r="V20" s="1"/>
      <c r="W20" s="1"/>
      <c r="X20" s="1"/>
      <c r="Y20" s="1"/>
      <c r="Z20" s="1"/>
      <c r="AA20" s="1"/>
      <c r="AB20" s="1"/>
      <c r="AC20" s="1"/>
      <c r="AD20" s="1"/>
      <c r="AE20" s="1"/>
      <c r="AF20" s="1"/>
    </row>
    <row r="21" spans="2:32" ht="13.5" customHeight="1">
      <c r="B21" s="1"/>
      <c r="C21" s="97"/>
      <c r="D21" s="97"/>
      <c r="E21" s="97"/>
      <c r="F21" s="97"/>
      <c r="G21" s="97"/>
      <c r="H21" s="97"/>
      <c r="I21" s="97"/>
      <c r="J21" s="97"/>
      <c r="K21" s="97"/>
      <c r="L21" s="97"/>
      <c r="M21" s="97"/>
      <c r="N21" s="97"/>
      <c r="O21" s="97"/>
      <c r="P21" s="1"/>
      <c r="Q21" s="1"/>
      <c r="R21" s="1"/>
      <c r="S21" s="1"/>
      <c r="T21" s="1"/>
      <c r="U21" s="1"/>
      <c r="V21" s="1"/>
      <c r="W21" s="1"/>
      <c r="X21" s="1"/>
      <c r="Y21" s="1"/>
      <c r="Z21" s="1"/>
      <c r="AA21" s="1"/>
      <c r="AB21" s="1"/>
      <c r="AC21" s="1"/>
      <c r="AD21" s="1"/>
      <c r="AE21" s="1"/>
      <c r="AF21" s="1"/>
    </row>
    <row r="22" spans="2:32" ht="13.5" customHeight="1">
      <c r="B22" s="1"/>
      <c r="C22" s="97"/>
      <c r="D22" s="97"/>
      <c r="E22" s="97"/>
      <c r="F22" s="97"/>
      <c r="G22" s="97"/>
      <c r="H22" s="97"/>
      <c r="I22" s="97"/>
      <c r="J22" s="97"/>
      <c r="K22" s="97"/>
      <c r="L22" s="97"/>
      <c r="M22" s="97"/>
      <c r="N22" s="97"/>
      <c r="O22" s="97"/>
      <c r="P22" s="1"/>
      <c r="Q22" s="1"/>
      <c r="R22" s="1"/>
      <c r="S22" s="1"/>
      <c r="T22" s="1"/>
      <c r="U22" s="1"/>
      <c r="V22" s="1"/>
      <c r="W22" s="1"/>
      <c r="X22" s="1"/>
      <c r="Y22" s="1"/>
      <c r="Z22" s="1"/>
      <c r="AA22" s="1"/>
      <c r="AB22" s="1"/>
      <c r="AC22" s="1"/>
      <c r="AD22" s="1"/>
      <c r="AE22" s="1"/>
      <c r="AF22" s="1"/>
    </row>
    <row r="23" spans="2:32" ht="13.5" customHeight="1">
      <c r="B23" s="1"/>
      <c r="C23" s="97"/>
      <c r="D23" s="97"/>
      <c r="E23" s="97"/>
      <c r="F23" s="97"/>
      <c r="G23" s="97"/>
      <c r="H23" s="97"/>
      <c r="I23" s="97"/>
      <c r="J23" s="97"/>
      <c r="K23" s="97"/>
      <c r="L23" s="97"/>
      <c r="M23" s="97"/>
      <c r="N23" s="97"/>
      <c r="O23" s="97"/>
      <c r="P23" s="1"/>
      <c r="Q23" s="1"/>
      <c r="R23" s="1"/>
      <c r="S23" s="1"/>
      <c r="T23" s="1"/>
      <c r="U23" s="1"/>
      <c r="V23" s="1"/>
      <c r="W23" s="1"/>
      <c r="X23" s="1"/>
      <c r="Y23" s="1"/>
      <c r="Z23" s="1"/>
      <c r="AA23" s="1"/>
      <c r="AB23" s="1"/>
      <c r="AC23" s="1"/>
      <c r="AD23" s="1"/>
      <c r="AE23" s="1"/>
      <c r="AF23" s="1"/>
    </row>
    <row r="24" spans="2:32" ht="13.5" customHeight="1">
      <c r="B24" s="1"/>
      <c r="C24" s="97"/>
      <c r="D24" s="97"/>
      <c r="E24" s="97"/>
      <c r="F24" s="97"/>
      <c r="G24" s="97"/>
      <c r="H24" s="97"/>
      <c r="I24" s="97"/>
      <c r="J24" s="97"/>
      <c r="K24" s="97"/>
      <c r="L24" s="97"/>
      <c r="M24" s="97"/>
      <c r="N24" s="97"/>
      <c r="O24" s="97"/>
      <c r="P24" s="1"/>
      <c r="Q24" s="1"/>
      <c r="R24" s="1"/>
      <c r="S24" s="1"/>
      <c r="T24" s="1"/>
      <c r="U24" s="1"/>
      <c r="V24" s="1"/>
      <c r="W24" s="1"/>
      <c r="X24" s="1"/>
      <c r="Y24" s="1"/>
      <c r="Z24" s="1"/>
      <c r="AA24" s="1"/>
      <c r="AB24" s="1"/>
      <c r="AC24" s="1"/>
      <c r="AD24" s="1"/>
      <c r="AE24" s="1"/>
      <c r="AF24" s="1"/>
    </row>
    <row r="25" spans="2:32" ht="13.5" customHeight="1">
      <c r="B25" s="1"/>
      <c r="C25" s="97"/>
      <c r="D25" s="97"/>
      <c r="E25" s="97"/>
      <c r="F25" s="97"/>
      <c r="G25" s="97"/>
      <c r="H25" s="97"/>
      <c r="I25" s="97"/>
      <c r="J25" s="97"/>
      <c r="K25" s="97"/>
      <c r="L25" s="97"/>
      <c r="M25" s="97"/>
      <c r="N25" s="97"/>
      <c r="O25" s="97"/>
      <c r="P25" s="1"/>
      <c r="Q25" s="1"/>
      <c r="R25" s="1"/>
      <c r="S25" s="1"/>
      <c r="T25" s="1"/>
      <c r="U25" s="1"/>
      <c r="V25" s="1"/>
      <c r="W25" s="1"/>
      <c r="X25" s="1"/>
      <c r="Y25" s="1"/>
      <c r="Z25" s="1"/>
      <c r="AA25" s="1"/>
      <c r="AB25" s="1"/>
      <c r="AC25" s="1"/>
      <c r="AD25" s="1"/>
      <c r="AE25" s="1"/>
      <c r="AF25" s="1"/>
    </row>
    <row r="26" spans="2:32" ht="13.5" customHeight="1">
      <c r="B26" s="1"/>
      <c r="C26" s="97"/>
      <c r="D26" s="97"/>
      <c r="E26" s="97"/>
      <c r="F26" s="97"/>
      <c r="G26" s="97"/>
      <c r="H26" s="97"/>
      <c r="I26" s="97"/>
      <c r="J26" s="97"/>
      <c r="K26" s="97"/>
      <c r="L26" s="97"/>
      <c r="M26" s="97"/>
      <c r="N26" s="97"/>
      <c r="O26" s="97"/>
      <c r="P26" s="1"/>
      <c r="Q26" s="1"/>
      <c r="R26" s="1"/>
      <c r="S26" s="1"/>
      <c r="T26" s="1"/>
      <c r="U26" s="1"/>
      <c r="V26" s="1"/>
      <c r="W26" s="1"/>
      <c r="X26" s="1"/>
      <c r="Y26" s="1"/>
      <c r="Z26" s="1"/>
      <c r="AA26" s="1"/>
      <c r="AB26" s="1"/>
      <c r="AC26" s="1"/>
      <c r="AD26" s="1"/>
      <c r="AE26" s="1"/>
      <c r="AF26" s="1"/>
    </row>
    <row r="27" spans="2:32" ht="13.5" customHeight="1">
      <c r="B27" s="1"/>
      <c r="C27" s="97"/>
      <c r="D27" s="97"/>
      <c r="E27" s="97"/>
      <c r="F27" s="97"/>
      <c r="G27" s="97"/>
      <c r="H27" s="97"/>
      <c r="I27" s="97"/>
      <c r="J27" s="97"/>
      <c r="K27" s="97"/>
      <c r="L27" s="97"/>
      <c r="M27" s="97"/>
      <c r="N27" s="97"/>
      <c r="O27" s="97"/>
      <c r="P27" s="1"/>
      <c r="Q27" s="1"/>
      <c r="R27" s="1"/>
      <c r="S27" s="1"/>
      <c r="T27" s="1"/>
      <c r="U27" s="1"/>
      <c r="V27" s="1"/>
      <c r="W27" s="1"/>
      <c r="X27" s="1"/>
      <c r="Y27" s="1"/>
      <c r="Z27" s="1"/>
      <c r="AA27" s="1"/>
      <c r="AB27" s="1"/>
      <c r="AC27" s="1"/>
      <c r="AD27" s="1"/>
      <c r="AE27" s="1"/>
      <c r="AF27" s="1"/>
    </row>
    <row r="28" spans="2:32" ht="13.5" customHeight="1">
      <c r="B28" s="1"/>
      <c r="C28" s="97"/>
      <c r="D28" s="97"/>
      <c r="E28" s="97"/>
      <c r="F28" s="97"/>
      <c r="G28" s="97"/>
      <c r="H28" s="97"/>
      <c r="I28" s="97"/>
      <c r="J28" s="97"/>
      <c r="K28" s="97"/>
      <c r="L28" s="97"/>
      <c r="M28" s="97"/>
      <c r="N28" s="97"/>
      <c r="O28" s="97"/>
      <c r="P28" s="1"/>
      <c r="Q28" s="1"/>
      <c r="R28" s="1"/>
      <c r="S28" s="1"/>
      <c r="T28" s="1"/>
      <c r="U28" s="1"/>
      <c r="V28" s="1"/>
      <c r="W28" s="1"/>
      <c r="X28" s="1"/>
      <c r="Y28" s="1"/>
      <c r="Z28" s="1"/>
      <c r="AA28" s="1"/>
      <c r="AB28" s="1"/>
      <c r="AC28" s="1"/>
      <c r="AD28" s="1"/>
      <c r="AE28" s="1"/>
      <c r="AF28" s="1"/>
    </row>
    <row r="29" spans="2:32" ht="13.5" customHeight="1">
      <c r="B29" s="1"/>
      <c r="C29" s="97"/>
      <c r="D29" s="97"/>
      <c r="E29" s="97"/>
      <c r="F29" s="97"/>
      <c r="G29" s="97"/>
      <c r="H29" s="97"/>
      <c r="I29" s="97"/>
      <c r="J29" s="97"/>
      <c r="K29" s="97"/>
      <c r="L29" s="97"/>
      <c r="M29" s="97"/>
      <c r="N29" s="97"/>
      <c r="O29" s="97"/>
      <c r="P29" s="1"/>
      <c r="Q29" s="1"/>
      <c r="R29" s="1"/>
      <c r="S29" s="1"/>
      <c r="T29" s="1"/>
      <c r="U29" s="1"/>
      <c r="V29" s="1"/>
      <c r="W29" s="1"/>
      <c r="X29" s="1"/>
      <c r="Y29" s="1"/>
      <c r="Z29" s="1"/>
      <c r="AA29" s="1"/>
      <c r="AB29" s="1"/>
      <c r="AC29" s="1"/>
      <c r="AD29" s="1"/>
      <c r="AE29" s="1"/>
      <c r="AF29" s="1"/>
    </row>
    <row r="30" spans="2:32" ht="13.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2:32" ht="13.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2:32" ht="13.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2:32" ht="13.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2:32" ht="13.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2:32" ht="13.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2:32" ht="13.5"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2:32" ht="13.5"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2:32" ht="13.5"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2:32" ht="13.5" customHeight="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2:32" ht="13.5"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2:32" ht="13.5"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ht="13.5"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ht="13.5"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ht="13.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ht="13.5" customHeight="1">
      <c r="B45" s="1"/>
      <c r="C45" s="98" t="s">
        <v>28</v>
      </c>
      <c r="D45" s="231"/>
      <c r="E45" s="1"/>
      <c r="F45" s="1"/>
      <c r="G45" s="1"/>
      <c r="H45" s="1"/>
      <c r="I45" s="1"/>
      <c r="J45" s="98" t="s">
        <v>29</v>
      </c>
      <c r="K45" s="231"/>
      <c r="L45" s="1"/>
      <c r="M45" s="1"/>
      <c r="N45" s="1"/>
      <c r="O45" s="1"/>
      <c r="P45" s="1"/>
      <c r="Q45" s="1"/>
      <c r="R45" s="1"/>
      <c r="S45" s="1"/>
      <c r="T45" s="1"/>
      <c r="U45" s="1"/>
      <c r="V45" s="1"/>
      <c r="W45" s="1"/>
      <c r="X45" s="1"/>
      <c r="Y45" s="1"/>
      <c r="Z45" s="1"/>
      <c r="AA45" s="1"/>
      <c r="AB45" s="1"/>
      <c r="AC45" s="1"/>
      <c r="AD45" s="1"/>
      <c r="AE45" s="1"/>
      <c r="AF45" s="1"/>
    </row>
    <row r="46" spans="2:32" ht="13.5" customHeight="1">
      <c r="B46" s="1"/>
      <c r="C46" s="98" t="s">
        <v>30</v>
      </c>
      <c r="D46" s="231"/>
      <c r="E46" s="1"/>
      <c r="F46" s="1"/>
      <c r="G46" s="1"/>
      <c r="H46" s="1"/>
      <c r="I46" s="1"/>
      <c r="J46" s="98" t="s">
        <v>26</v>
      </c>
      <c r="K46" s="231"/>
      <c r="L46" s="1"/>
      <c r="M46" s="1"/>
      <c r="N46" s="1"/>
      <c r="O46" s="1"/>
      <c r="P46" s="1"/>
      <c r="Q46" s="1"/>
      <c r="R46" s="1"/>
      <c r="S46" s="1"/>
      <c r="T46" s="1"/>
      <c r="U46" s="1"/>
      <c r="V46" s="1"/>
      <c r="W46" s="1"/>
      <c r="X46" s="1"/>
      <c r="Y46" s="1"/>
      <c r="Z46" s="1"/>
      <c r="AA46" s="1"/>
      <c r="AB46" s="1"/>
      <c r="AC46" s="1"/>
      <c r="AD46" s="1"/>
      <c r="AE46" s="1"/>
      <c r="AF46" s="1"/>
    </row>
    <row r="47" spans="2:32" ht="13.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ht="13.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ht="13.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ht="13.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ht="13.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ht="13.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ht="13.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ht="13.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ht="13.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ht="13.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ht="13.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ht="13.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ht="13.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ht="13.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ht="13.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ht="13.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ht="13.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ht="13.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ht="13.5"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ht="13.5"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ht="13.5" customHeight="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ht="13.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ht="13.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ht="13.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ht="13.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ht="13.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ht="13.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ht="13.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ht="13.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ht="13.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ht="13.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ht="13.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ht="13.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231" customFormat="1" ht="13.5">
      <c r="B80" s="1"/>
    </row>
    <row r="81" s="231" customFormat="1" ht="13.5"/>
    <row r="82" s="231" customFormat="1" ht="13.5"/>
    <row r="83" s="231" customFormat="1" ht="13.5"/>
    <row r="84" s="231" customFormat="1" ht="13.5"/>
    <row r="85" s="231" customFormat="1" ht="13.5"/>
    <row r="86" s="231" customFormat="1" ht="13.5"/>
    <row r="87" s="231" customFormat="1" ht="13.5"/>
    <row r="88" s="231" customFormat="1" ht="13.5"/>
    <row r="89" s="231" customFormat="1" ht="13.5"/>
    <row r="90" s="231" customFormat="1" ht="13.5"/>
    <row r="91" s="231" customFormat="1" ht="13.5"/>
    <row r="92" s="231" customFormat="1" ht="13.5"/>
    <row r="93" s="231" customFormat="1" ht="13.5"/>
    <row r="94" s="231" customFormat="1" ht="13.5"/>
    <row r="95" s="231" customFormat="1" ht="13.5"/>
    <row r="96" s="231" customFormat="1" ht="13.5"/>
    <row r="97" s="231" customFormat="1" ht="13.5"/>
    <row r="98" s="231" customFormat="1" ht="13.5"/>
    <row r="99" s="231" customFormat="1" ht="13.5"/>
    <row r="100" s="231" customFormat="1" ht="13.5"/>
    <row r="101" s="231" customFormat="1" ht="13.5"/>
    <row r="102" s="231" customFormat="1" ht="13.5"/>
    <row r="103" s="231" customFormat="1" ht="13.5"/>
    <row r="104" s="231" customFormat="1" ht="13.5"/>
    <row r="105" s="231" customFormat="1" ht="13.5"/>
    <row r="106" s="231" customFormat="1" ht="13.5"/>
    <row r="107" s="231" customFormat="1" ht="13.5"/>
    <row r="108" s="231" customFormat="1" ht="13.5"/>
    <row r="109" s="231" customFormat="1" ht="13.5"/>
    <row r="110" s="231" customFormat="1" ht="13.5"/>
    <row r="111" s="231" customFormat="1" ht="13.5"/>
    <row r="112" s="231" customFormat="1" ht="13.5"/>
    <row r="113" s="231" customFormat="1" ht="13.5"/>
    <row r="114" s="231" customFormat="1" ht="13.5"/>
    <row r="115" s="231" customFormat="1" ht="13.5"/>
    <row r="116" s="231" customFormat="1" ht="13.5"/>
    <row r="117" s="231" customFormat="1" ht="13.5"/>
    <row r="118" s="231" customFormat="1" ht="13.5"/>
    <row r="119" s="231" customFormat="1" ht="13.5"/>
    <row r="120" s="231" customFormat="1" ht="13.5"/>
    <row r="121" s="231" customFormat="1" ht="13.5"/>
    <row r="122" s="231" customFormat="1" ht="13.5"/>
    <row r="123" s="231" customFormat="1" ht="13.5"/>
    <row r="124" s="231" customFormat="1" ht="13.5"/>
    <row r="125" s="231" customFormat="1" ht="13.5"/>
    <row r="126" s="231" customFormat="1" ht="13.5"/>
    <row r="127" s="231" customFormat="1" ht="13.5"/>
    <row r="128" s="231" customFormat="1" ht="13.5"/>
    <row r="129" s="231" customFormat="1" ht="13.5"/>
    <row r="130" s="231" customFormat="1" ht="13.5"/>
    <row r="131" s="231" customFormat="1" ht="13.5"/>
    <row r="132" s="231" customFormat="1" ht="13.5"/>
    <row r="133" s="231" customFormat="1" ht="13.5"/>
    <row r="134" s="231" customFormat="1" ht="13.5"/>
    <row r="135" s="231" customFormat="1" ht="13.5"/>
    <row r="136" s="231" customFormat="1" ht="13.5"/>
    <row r="137" s="231" customFormat="1" ht="13.5"/>
    <row r="138" s="231" customFormat="1" ht="13.5"/>
    <row r="139" s="231" customFormat="1" ht="13.5"/>
    <row r="140" s="231" customFormat="1" ht="13.5"/>
    <row r="141" s="231" customFormat="1" ht="13.5"/>
    <row r="142" s="231" customFormat="1" ht="13.5"/>
    <row r="143" s="231" customFormat="1" ht="13.5"/>
    <row r="144" s="231" customFormat="1" ht="13.5"/>
    <row r="145" s="231" customFormat="1" ht="13.5"/>
    <row r="146" s="231" customFormat="1" ht="13.5"/>
    <row r="147" s="231" customFormat="1" ht="13.5"/>
    <row r="148" s="231" customFormat="1" ht="13.5"/>
    <row r="149" s="231" customFormat="1" ht="13.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drawing r:id="rId2"/>
  <legacyDrawing r:id="rId1"/>
</worksheet>
</file>

<file path=xl/worksheets/sheet4.xml><?xml version="1.0" encoding="utf-8"?>
<worksheet xmlns="http://schemas.openxmlformats.org/spreadsheetml/2006/main" xmlns:r="http://schemas.openxmlformats.org/officeDocument/2006/relationships">
  <sheetPr codeName="Sheet61"/>
  <dimension ref="A4:V39"/>
  <sheetViews>
    <sheetView showGridLines="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9.00390625" defaultRowHeight="13.5"/>
  <cols>
    <col min="1" max="1" width="3.375" style="0" customWidth="1"/>
    <col min="2" max="2" width="2.625" style="0" customWidth="1"/>
    <col min="3" max="3" width="7.25390625" style="0" customWidth="1"/>
    <col min="7" max="7" width="10.00390625" style="0" customWidth="1"/>
    <col min="8" max="8" width="9.625" style="0" customWidth="1"/>
    <col min="13" max="13" width="9.875" style="0" customWidth="1"/>
    <col min="35" max="35" width="11.875" style="0" customWidth="1"/>
    <col min="36" max="36" width="10.875" style="0" customWidth="1"/>
  </cols>
  <sheetData>
    <row r="4" ht="13.5">
      <c r="B4" t="s">
        <v>31</v>
      </c>
    </row>
    <row r="5" spans="3:14" ht="13.5">
      <c r="C5" s="100">
        <f>TicToc</f>
        <v>30.000591278076172</v>
      </c>
      <c r="D5" s="101">
        <f>'1 DT'!AA22</f>
        <v>804.0122395099934</v>
      </c>
      <c r="E5" s="101">
        <f>'1 DT'!X48</f>
        <v>804.0122395099934</v>
      </c>
      <c r="F5" s="101">
        <f>'1 DT'!X76</f>
        <v>806.0635440511651</v>
      </c>
      <c r="G5" s="102">
        <f>-Nu</f>
        <v>0.1033804593685943</v>
      </c>
      <c r="H5" s="103">
        <f>Chi</f>
        <v>0.4781505785235966</v>
      </c>
      <c r="I5" s="104">
        <f>'1 DT'!AK53</f>
        <v>109.5478589536273</v>
      </c>
      <c r="J5" s="104">
        <f>'1 DT'!AK45</f>
        <v>109.53370618970456</v>
      </c>
      <c r="K5" s="104">
        <f>'1 DT'!AK46</f>
        <v>109.54812908587205</v>
      </c>
      <c r="L5" s="104">
        <f>'1 DT'!AK48</f>
        <v>109.54760677084064</v>
      </c>
      <c r="M5" s="104">
        <f>'1 DT'!AK52</f>
        <v>107.72128060263655</v>
      </c>
      <c r="N5" s="105"/>
    </row>
    <row r="7" spans="1:13" ht="18.75">
      <c r="A7" t="s">
        <v>32</v>
      </c>
      <c r="C7" s="106" t="s">
        <v>33</v>
      </c>
      <c r="D7" s="107" t="s">
        <v>34</v>
      </c>
      <c r="E7" s="107" t="s">
        <v>35</v>
      </c>
      <c r="F7" s="107" t="s">
        <v>36</v>
      </c>
      <c r="G7" s="317" t="s">
        <v>155</v>
      </c>
      <c r="H7" s="175" t="s">
        <v>82</v>
      </c>
      <c r="I7" s="108" t="s">
        <v>37</v>
      </c>
      <c r="J7" s="108" t="s">
        <v>38</v>
      </c>
      <c r="K7" s="108" t="s">
        <v>39</v>
      </c>
      <c r="L7" s="108" t="s">
        <v>40</v>
      </c>
      <c r="M7" s="108" t="s">
        <v>41</v>
      </c>
    </row>
    <row r="8" spans="1:14" ht="13.5">
      <c r="A8" s="109">
        <v>0</v>
      </c>
      <c r="C8" s="110">
        <v>0</v>
      </c>
      <c r="D8" s="111">
        <v>761.25</v>
      </c>
      <c r="E8" s="111">
        <v>761.25</v>
      </c>
      <c r="F8" s="111">
        <v>830.4728259227297</v>
      </c>
      <c r="G8" s="112">
        <v>0.10734842139886247</v>
      </c>
      <c r="H8" s="113">
        <v>0.46651860175476434</v>
      </c>
      <c r="I8" s="111">
        <v>115.33727280138586</v>
      </c>
      <c r="J8" s="111">
        <v>113.92817166263012</v>
      </c>
      <c r="K8" s="111">
        <v>115.6370942375712</v>
      </c>
      <c r="L8" s="111">
        <v>115.63709423756956</v>
      </c>
      <c r="M8" s="111">
        <v>107.72128060263655</v>
      </c>
      <c r="N8" s="111"/>
    </row>
    <row r="9" spans="1:14" ht="13.5">
      <c r="A9" s="109">
        <f aca="true" t="shared" si="0" ref="A9:A38">1+A8</f>
        <v>1</v>
      </c>
      <c r="C9" s="110">
        <v>1.009999394416809</v>
      </c>
      <c r="D9" s="111">
        <v>787.3789962284773</v>
      </c>
      <c r="E9" s="111">
        <v>787.3789962284773</v>
      </c>
      <c r="F9" s="111">
        <v>842.957972623051</v>
      </c>
      <c r="G9" s="112">
        <v>0.10191520230478068</v>
      </c>
      <c r="H9" s="113">
        <v>0.4927971999376762</v>
      </c>
      <c r="I9" s="111">
        <v>109.07965064856153</v>
      </c>
      <c r="J9" s="111">
        <v>108.77733415767902</v>
      </c>
      <c r="K9" s="111">
        <v>109.22431411817442</v>
      </c>
      <c r="L9" s="111">
        <v>113.50634462885601</v>
      </c>
      <c r="M9" s="111">
        <v>107.72128060263655</v>
      </c>
      <c r="N9" s="111"/>
    </row>
    <row r="10" spans="1:14" ht="13.5">
      <c r="A10" s="109">
        <f t="shared" si="0"/>
        <v>2</v>
      </c>
      <c r="C10" s="110">
        <v>2.019998550415039</v>
      </c>
      <c r="D10" s="111">
        <v>792.8639986490325</v>
      </c>
      <c r="E10" s="111">
        <v>792.8639986490325</v>
      </c>
      <c r="F10" s="111">
        <v>835.5944614470332</v>
      </c>
      <c r="G10" s="112">
        <v>0.10342291778269419</v>
      </c>
      <c r="H10" s="113">
        <v>0.48293221160023353</v>
      </c>
      <c r="I10" s="111">
        <v>110.03247712615236</v>
      </c>
      <c r="J10" s="111">
        <v>109.9868617318833</v>
      </c>
      <c r="K10" s="111">
        <v>109.96040467427984</v>
      </c>
      <c r="L10" s="111">
        <v>111.57345557998386</v>
      </c>
      <c r="M10" s="111">
        <v>107.72128060263655</v>
      </c>
      <c r="N10" s="111"/>
    </row>
    <row r="11" spans="1:14" ht="13.5">
      <c r="A11" s="109">
        <f t="shared" si="0"/>
        <v>3</v>
      </c>
      <c r="C11" s="110">
        <v>3.0299975872039795</v>
      </c>
      <c r="D11" s="111">
        <v>795.1569219335752</v>
      </c>
      <c r="E11" s="111">
        <v>795.1569219335752</v>
      </c>
      <c r="F11" s="111">
        <v>830.6476669069235</v>
      </c>
      <c r="G11" s="112">
        <v>0.10409599264280023</v>
      </c>
      <c r="H11" s="113">
        <v>0.47947996610579324</v>
      </c>
      <c r="I11" s="111">
        <v>110.27298221063322</v>
      </c>
      <c r="J11" s="111">
        <v>110.23350751617038</v>
      </c>
      <c r="K11" s="111">
        <v>110.20765605379668</v>
      </c>
      <c r="L11" s="111">
        <v>109.56843997523207</v>
      </c>
      <c r="M11" s="111">
        <v>107.72128060263655</v>
      </c>
      <c r="N11" s="111"/>
    </row>
    <row r="12" spans="1:22" ht="15.75">
      <c r="A12" s="109">
        <f t="shared" si="0"/>
        <v>4</v>
      </c>
      <c r="C12" s="110">
        <v>4.039997577667236</v>
      </c>
      <c r="D12" s="111">
        <v>796.6597211336357</v>
      </c>
      <c r="E12" s="111">
        <v>796.6597211336357</v>
      </c>
      <c r="F12" s="111">
        <v>826.4739344515385</v>
      </c>
      <c r="G12" s="112">
        <v>0.10400897005950127</v>
      </c>
      <c r="H12" s="113">
        <v>0.48068921204834036</v>
      </c>
      <c r="I12" s="111">
        <v>109.83149633129436</v>
      </c>
      <c r="J12" s="111">
        <v>109.77938751599102</v>
      </c>
      <c r="K12" s="111">
        <v>109.79174118041217</v>
      </c>
      <c r="L12" s="111">
        <v>108.55350029159312</v>
      </c>
      <c r="M12" s="111">
        <v>107.72128060263655</v>
      </c>
      <c r="N12" s="111"/>
      <c r="R12" s="1"/>
      <c r="S12" s="114" t="s">
        <v>42</v>
      </c>
      <c r="T12" s="115" t="s">
        <v>43</v>
      </c>
      <c r="U12" s="114" t="s">
        <v>104</v>
      </c>
      <c r="V12" s="115" t="s">
        <v>44</v>
      </c>
    </row>
    <row r="13" spans="1:22" ht="13.5">
      <c r="A13" s="109">
        <f t="shared" si="0"/>
        <v>5</v>
      </c>
      <c r="C13" s="110">
        <v>5.050020694732666</v>
      </c>
      <c r="D13" s="111">
        <v>798.0039857975871</v>
      </c>
      <c r="E13" s="111">
        <v>798.0039857975871</v>
      </c>
      <c r="F13" s="111">
        <v>822.723540877052</v>
      </c>
      <c r="G13" s="112">
        <v>0.1037982435939877</v>
      </c>
      <c r="H13" s="113">
        <v>0.48232012924915685</v>
      </c>
      <c r="I13" s="111">
        <v>109.35977946472173</v>
      </c>
      <c r="J13" s="111">
        <v>109.29654864985895</v>
      </c>
      <c r="K13" s="111">
        <v>109.3384171044786</v>
      </c>
      <c r="L13" s="111">
        <v>108.30401525200844</v>
      </c>
      <c r="M13" s="111">
        <v>107.72128060263655</v>
      </c>
      <c r="N13" s="111"/>
      <c r="R13" s="1"/>
      <c r="S13" s="116">
        <f>'1 DT'!AK36</f>
        <v>544918.5819418652</v>
      </c>
      <c r="T13" s="116">
        <f>'1 DT'!AN8</f>
        <v>5778.906278045539</v>
      </c>
      <c r="U13" s="116">
        <f>'1 DT'!AK37+'1 DT'!AK38+'1 DT'!AK39</f>
        <v>1241777.1282466424</v>
      </c>
      <c r="V13" s="116">
        <f>'1 DT'!AK7+'1 DT'!AK8+'1 DT'!AK9</f>
        <v>10531.432834063413</v>
      </c>
    </row>
    <row r="14" spans="1:22" ht="13.5">
      <c r="A14" s="109">
        <f t="shared" si="0"/>
        <v>6</v>
      </c>
      <c r="C14" s="110">
        <v>6.060043811798096</v>
      </c>
      <c r="D14" s="111">
        <v>799.1439442359888</v>
      </c>
      <c r="E14" s="111">
        <v>799.1439442359888</v>
      </c>
      <c r="F14" s="111">
        <v>819.6577171910822</v>
      </c>
      <c r="G14" s="112">
        <v>0.10364500770249219</v>
      </c>
      <c r="H14" s="113">
        <v>0.4832627838404371</v>
      </c>
      <c r="I14" s="111">
        <v>109.04918876766435</v>
      </c>
      <c r="J14" s="111">
        <v>108.97919719997624</v>
      </c>
      <c r="K14" s="111">
        <v>109.03890804516755</v>
      </c>
      <c r="L14" s="111">
        <v>108.34826778786724</v>
      </c>
      <c r="M14" s="111">
        <v>107.72128060263655</v>
      </c>
      <c r="N14" s="111"/>
      <c r="R14" s="1"/>
      <c r="S14" s="117" t="s">
        <v>45</v>
      </c>
      <c r="T14" s="117" t="s">
        <v>45</v>
      </c>
      <c r="U14" s="1"/>
      <c r="V14" s="1"/>
    </row>
    <row r="15" spans="1:22" ht="15.75">
      <c r="A15" s="109">
        <f t="shared" si="0"/>
        <v>7</v>
      </c>
      <c r="C15" s="110">
        <v>7.070066928863525</v>
      </c>
      <c r="D15" s="111">
        <v>800.0305439701533</v>
      </c>
      <c r="E15" s="111">
        <v>800.0305439701533</v>
      </c>
      <c r="F15" s="111">
        <v>817.3178508982182</v>
      </c>
      <c r="G15" s="112">
        <v>0.10355157335201381</v>
      </c>
      <c r="H15" s="113">
        <v>0.4835956992800911</v>
      </c>
      <c r="I15" s="111">
        <v>108.88780701336606</v>
      </c>
      <c r="J15" s="111">
        <v>108.81416234088348</v>
      </c>
      <c r="K15" s="111">
        <v>108.88479141728178</v>
      </c>
      <c r="L15" s="111">
        <v>108.46200973268655</v>
      </c>
      <c r="M15" s="111">
        <v>107.72128060263655</v>
      </c>
      <c r="N15" s="111"/>
      <c r="R15" s="115" t="s">
        <v>46</v>
      </c>
      <c r="S15" s="118" t="s">
        <v>47</v>
      </c>
      <c r="T15" s="118" t="s">
        <v>48</v>
      </c>
      <c r="U15" s="118" t="s">
        <v>49</v>
      </c>
      <c r="V15" s="118" t="s">
        <v>50</v>
      </c>
    </row>
    <row r="16" spans="1:22" ht="13.5">
      <c r="A16" s="109">
        <f t="shared" si="0"/>
        <v>8</v>
      </c>
      <c r="C16" s="110">
        <v>8.080089569091797</v>
      </c>
      <c r="D16" s="111">
        <v>800.7008295025698</v>
      </c>
      <c r="E16" s="111">
        <v>800.7008295025698</v>
      </c>
      <c r="F16" s="111">
        <v>815.5549350276826</v>
      </c>
      <c r="G16" s="112">
        <v>0.10349382312293764</v>
      </c>
      <c r="H16" s="113">
        <v>0.4835587714259815</v>
      </c>
      <c r="I16" s="111">
        <v>108.82519598487953</v>
      </c>
      <c r="J16" s="111">
        <v>108.75015543080366</v>
      </c>
      <c r="K16" s="111">
        <v>108.82717226487384</v>
      </c>
      <c r="L16" s="111">
        <v>108.58363982947033</v>
      </c>
      <c r="M16" s="111">
        <v>107.72128060263655</v>
      </c>
      <c r="N16" s="111"/>
      <c r="R16" s="1">
        <v>700</v>
      </c>
      <c r="S16" s="119">
        <v>106.64266640111373</v>
      </c>
      <c r="T16" s="119">
        <v>108.20083331062207</v>
      </c>
      <c r="U16" s="119">
        <f aca="true" t="shared" si="1" ref="U16:U36">$S$13/($T$13-R16)</f>
        <v>107.29053699954478</v>
      </c>
      <c r="V16" s="119">
        <f aca="true" t="shared" si="2" ref="V16:V36">$U$13/($V$13+R16)</f>
        <v>110.5626634279912</v>
      </c>
    </row>
    <row r="17" spans="1:22" ht="13.5">
      <c r="A17" s="109">
        <f t="shared" si="0"/>
        <v>9</v>
      </c>
      <c r="C17" s="110">
        <v>9.090112686157227</v>
      </c>
      <c r="D17" s="111">
        <v>801.2142177445348</v>
      </c>
      <c r="E17" s="111">
        <v>801.2142177445348</v>
      </c>
      <c r="F17" s="111">
        <v>814.1979489037983</v>
      </c>
      <c r="G17" s="112">
        <v>0.10345696360486878</v>
      </c>
      <c r="H17" s="113">
        <v>0.4833117474676132</v>
      </c>
      <c r="I17" s="111">
        <v>108.8223406536712</v>
      </c>
      <c r="J17" s="111">
        <v>108.74778754218353</v>
      </c>
      <c r="K17" s="111">
        <v>108.82747975339252</v>
      </c>
      <c r="L17" s="111">
        <v>108.70129849313027</v>
      </c>
      <c r="M17" s="111">
        <v>107.72128060263655</v>
      </c>
      <c r="N17" s="111"/>
      <c r="R17" s="1">
        <f>10+R16</f>
        <v>710</v>
      </c>
      <c r="S17" s="119">
        <v>106.85665774604999</v>
      </c>
      <c r="T17" s="119">
        <v>108.10458149387613</v>
      </c>
      <c r="U17" s="119">
        <f t="shared" si="1"/>
        <v>107.50220107679206</v>
      </c>
      <c r="V17" s="119">
        <f t="shared" si="2"/>
        <v>110.4643106067272</v>
      </c>
    </row>
    <row r="18" spans="1:22" ht="13.5">
      <c r="A18" s="109">
        <f t="shared" si="0"/>
        <v>10</v>
      </c>
      <c r="C18" s="110">
        <v>10.100135803222656</v>
      </c>
      <c r="D18" s="111">
        <v>801.6175956843599</v>
      </c>
      <c r="E18" s="111">
        <v>801.6175956843599</v>
      </c>
      <c r="F18" s="111">
        <v>813.1205276090227</v>
      </c>
      <c r="G18" s="112">
        <v>0.10343362632415487</v>
      </c>
      <c r="H18" s="113">
        <v>0.48294760407152754</v>
      </c>
      <c r="I18" s="111">
        <v>108.85452101042094</v>
      </c>
      <c r="J18" s="111">
        <v>108.78199119867138</v>
      </c>
      <c r="K18" s="111">
        <v>108.86132074131359</v>
      </c>
      <c r="L18" s="111">
        <v>108.81108829647114</v>
      </c>
      <c r="M18" s="111">
        <v>107.72128060263655</v>
      </c>
      <c r="N18" s="111"/>
      <c r="R18" s="1">
        <f aca="true" t="shared" si="3" ref="R18:R36">10+R17</f>
        <v>720</v>
      </c>
      <c r="S18" s="119">
        <v>107.07150961651068</v>
      </c>
      <c r="T18" s="119">
        <v>108.00850076968018</v>
      </c>
      <c r="U18" s="119">
        <f t="shared" si="1"/>
        <v>107.71470195181978</v>
      </c>
      <c r="V18" s="119">
        <f t="shared" si="2"/>
        <v>110.3661326126567</v>
      </c>
    </row>
    <row r="19" spans="1:22" ht="13.5">
      <c r="A19" s="109">
        <f t="shared" si="0"/>
        <v>11</v>
      </c>
      <c r="C19" s="110">
        <v>11.110158920288086</v>
      </c>
      <c r="D19" s="111">
        <v>801.9422405057094</v>
      </c>
      <c r="E19" s="111">
        <v>801.9422405057094</v>
      </c>
      <c r="F19" s="111">
        <v>812.2400633344674</v>
      </c>
      <c r="G19" s="112">
        <v>0.10341933827307037</v>
      </c>
      <c r="H19" s="113">
        <v>0.48252551420396766</v>
      </c>
      <c r="I19" s="111">
        <v>108.90601916694908</v>
      </c>
      <c r="J19" s="111">
        <v>108.8366406267943</v>
      </c>
      <c r="K19" s="111">
        <v>108.91337748306697</v>
      </c>
      <c r="L19" s="111">
        <v>108.91034525644757</v>
      </c>
      <c r="M19" s="111">
        <v>107.72128060263655</v>
      </c>
      <c r="N19" s="111"/>
      <c r="R19" s="1">
        <f t="shared" si="3"/>
        <v>730</v>
      </c>
      <c r="S19" s="119">
        <v>107.2872272136132</v>
      </c>
      <c r="T19" s="119">
        <v>107.91259068225065</v>
      </c>
      <c r="U19" s="119">
        <f t="shared" si="1"/>
        <v>107.92804459678074</v>
      </c>
      <c r="V19" s="119">
        <f t="shared" si="2"/>
        <v>110.26812898004715</v>
      </c>
    </row>
    <row r="20" spans="1:22" ht="13.5">
      <c r="A20" s="109">
        <f t="shared" si="0"/>
        <v>12</v>
      </c>
      <c r="C20" s="110">
        <v>12.120182037353516</v>
      </c>
      <c r="D20" s="111">
        <v>802.2090711345945</v>
      </c>
      <c r="E20" s="111">
        <v>802.2090711345945</v>
      </c>
      <c r="F20" s="111">
        <v>811.5024968144361</v>
      </c>
      <c r="G20" s="112">
        <v>0.10341091051232087</v>
      </c>
      <c r="H20" s="113">
        <v>0.4820850274495444</v>
      </c>
      <c r="I20" s="111">
        <v>108.96661356210639</v>
      </c>
      <c r="J20" s="111">
        <v>108.90111787185519</v>
      </c>
      <c r="K20" s="111">
        <v>108.97381270029787</v>
      </c>
      <c r="L20" s="111">
        <v>108.99792575967699</v>
      </c>
      <c r="M20" s="111">
        <v>107.72128060263655</v>
      </c>
      <c r="N20" s="111"/>
      <c r="R20" s="1">
        <f t="shared" si="3"/>
        <v>740</v>
      </c>
      <c r="S20" s="119">
        <v>107.50381578047451</v>
      </c>
      <c r="T20" s="119">
        <v>107.81685077742141</v>
      </c>
      <c r="U20" s="119">
        <f t="shared" si="1"/>
        <v>108.1422340232978</v>
      </c>
      <c r="V20" s="119">
        <f t="shared" si="2"/>
        <v>110.17029924481882</v>
      </c>
    </row>
    <row r="21" spans="1:22" ht="13.5">
      <c r="A21" s="109">
        <f t="shared" si="0"/>
        <v>13</v>
      </c>
      <c r="C21" s="110">
        <v>13.130205154418945</v>
      </c>
      <c r="D21" s="111">
        <v>802.4327079369896</v>
      </c>
      <c r="E21" s="111">
        <v>802.4327079369896</v>
      </c>
      <c r="F21" s="111">
        <v>810.8712412018862</v>
      </c>
      <c r="G21" s="112">
        <v>0.10340608801553386</v>
      </c>
      <c r="H21" s="113">
        <v>0.4816515675495072</v>
      </c>
      <c r="I21" s="111">
        <v>109.02976373926737</v>
      </c>
      <c r="J21" s="111">
        <v>108.96855316633652</v>
      </c>
      <c r="K21" s="111">
        <v>109.03638781824726</v>
      </c>
      <c r="L21" s="111">
        <v>109.07405888546988</v>
      </c>
      <c r="M21" s="111">
        <v>107.72128060263655</v>
      </c>
      <c r="N21" s="111"/>
      <c r="R21" s="1">
        <f t="shared" si="3"/>
        <v>750</v>
      </c>
      <c r="S21" s="119">
        <v>107.72128060263584</v>
      </c>
      <c r="T21" s="119">
        <v>107.72128060263663</v>
      </c>
      <c r="U21" s="119">
        <f t="shared" si="1"/>
        <v>108.35727528285638</v>
      </c>
      <c r="V21" s="119">
        <f t="shared" si="2"/>
        <v>110.07264294453738</v>
      </c>
    </row>
    <row r="22" spans="1:22" ht="13.5">
      <c r="A22" s="109">
        <f t="shared" si="0"/>
        <v>14</v>
      </c>
      <c r="C22" s="110">
        <v>14.140228271484375</v>
      </c>
      <c r="D22" s="111">
        <v>802.6236262218972</v>
      </c>
      <c r="E22" s="111">
        <v>802.6236262218972</v>
      </c>
      <c r="F22" s="111">
        <v>810.3209585860853</v>
      </c>
      <c r="G22" s="112">
        <v>0.1034033611643006</v>
      </c>
      <c r="H22" s="113">
        <v>0.4812401981098827</v>
      </c>
      <c r="I22" s="111">
        <v>109.09147965847747</v>
      </c>
      <c r="J22" s="111">
        <v>109.03470711176818</v>
      </c>
      <c r="K22" s="111">
        <v>109.0973246373824</v>
      </c>
      <c r="L22" s="111">
        <v>109.13973609105018</v>
      </c>
      <c r="M22" s="111">
        <v>107.72128060263655</v>
      </c>
      <c r="N22" s="111"/>
      <c r="R22" s="1">
        <f t="shared" si="3"/>
        <v>760</v>
      </c>
      <c r="S22" s="119">
        <v>107.93962700849266</v>
      </c>
      <c r="T22" s="119">
        <v>107.62587970694368</v>
      </c>
      <c r="U22" s="119">
        <f t="shared" si="1"/>
        <v>108.57317346720154</v>
      </c>
      <c r="V22" s="119">
        <f t="shared" si="2"/>
        <v>109.97515961840672</v>
      </c>
    </row>
    <row r="23" spans="1:22" ht="13.5">
      <c r="A23" s="109">
        <f t="shared" si="0"/>
        <v>15</v>
      </c>
      <c r="C23" s="110">
        <v>15.150251388549805</v>
      </c>
      <c r="D23" s="111">
        <v>802.7893733906903</v>
      </c>
      <c r="E23" s="111">
        <v>802.7893733906903</v>
      </c>
      <c r="F23" s="111">
        <v>809.8339098459589</v>
      </c>
      <c r="G23" s="112">
        <v>0.1034017591293066</v>
      </c>
      <c r="H23" s="113">
        <v>0.48085884884205277</v>
      </c>
      <c r="I23" s="111">
        <v>109.14950136409327</v>
      </c>
      <c r="J23" s="111">
        <v>109.0971416534188</v>
      </c>
      <c r="K23" s="111">
        <v>109.15450234817537</v>
      </c>
      <c r="L23" s="111">
        <v>109.1962336568695</v>
      </c>
      <c r="M23" s="111">
        <v>107.72128060263655</v>
      </c>
      <c r="N23" s="111"/>
      <c r="R23" s="1">
        <f t="shared" si="3"/>
        <v>770</v>
      </c>
      <c r="S23" s="119">
        <v>108.15886036972996</v>
      </c>
      <c r="T23" s="119">
        <v>107.53064764098603</v>
      </c>
      <c r="U23" s="119">
        <f t="shared" si="1"/>
        <v>108.78993370873988</v>
      </c>
      <c r="V23" s="119">
        <f t="shared" si="2"/>
        <v>109.87784880726167</v>
      </c>
    </row>
    <row r="24" spans="1:22" ht="13.5">
      <c r="A24" s="109">
        <f t="shared" si="0"/>
        <v>16</v>
      </c>
      <c r="C24" s="110">
        <v>16.160274505615234</v>
      </c>
      <c r="D24" s="111">
        <v>802.9353950638697</v>
      </c>
      <c r="E24" s="111">
        <v>802.9353950638697</v>
      </c>
      <c r="F24" s="111">
        <v>809.3975642412821</v>
      </c>
      <c r="G24" s="112">
        <v>0.10340067504745631</v>
      </c>
      <c r="H24" s="113">
        <v>0.4805107974198985</v>
      </c>
      <c r="I24" s="111">
        <v>109.20270549934781</v>
      </c>
      <c r="J24" s="111">
        <v>109.15461271932669</v>
      </c>
      <c r="K24" s="111">
        <v>109.20688382606329</v>
      </c>
      <c r="L24" s="111">
        <v>109.2448634395681</v>
      </c>
      <c r="M24" s="111">
        <v>107.72128060263655</v>
      </c>
      <c r="N24" s="111"/>
      <c r="R24" s="1">
        <f t="shared" si="3"/>
        <v>780</v>
      </c>
      <c r="S24" s="119">
        <v>108.37898610176264</v>
      </c>
      <c r="T24" s="119">
        <v>107.43558395699618</v>
      </c>
      <c r="U24" s="119">
        <f t="shared" si="1"/>
        <v>109.00756118094621</v>
      </c>
      <c r="V24" s="119">
        <f t="shared" si="2"/>
        <v>109.78071005356074</v>
      </c>
    </row>
    <row r="25" spans="1:22" ht="13.5">
      <c r="A25" s="109">
        <f t="shared" si="0"/>
        <v>17</v>
      </c>
      <c r="C25" s="110">
        <v>17.170297622680664</v>
      </c>
      <c r="D25" s="111">
        <v>803.0656369417447</v>
      </c>
      <c r="E25" s="111">
        <v>803.0656369417447</v>
      </c>
      <c r="F25" s="111">
        <v>809.0029603773704</v>
      </c>
      <c r="G25" s="112">
        <v>0.1033997440749872</v>
      </c>
      <c r="H25" s="113">
        <v>0.48019640082317655</v>
      </c>
      <c r="I25" s="111">
        <v>109.25069360394933</v>
      </c>
      <c r="J25" s="111">
        <v>109.20664543490405</v>
      </c>
      <c r="K25" s="111">
        <v>109.25411974620614</v>
      </c>
      <c r="L25" s="111">
        <v>109.2868586336469</v>
      </c>
      <c r="M25" s="111">
        <v>107.72128060263655</v>
      </c>
      <c r="N25" s="111"/>
      <c r="R25" s="1">
        <f t="shared" si="3"/>
        <v>790</v>
      </c>
      <c r="S25" s="119">
        <v>108.60000966418153</v>
      </c>
      <c r="T25" s="119">
        <v>107.34068820878863</v>
      </c>
      <c r="U25" s="119">
        <f t="shared" si="1"/>
        <v>109.22606109877519</v>
      </c>
      <c r="V25" s="119">
        <f t="shared" si="2"/>
        <v>109.68374290137903</v>
      </c>
    </row>
    <row r="26" spans="1:22" ht="13.5">
      <c r="A26" s="109">
        <f t="shared" si="0"/>
        <v>18</v>
      </c>
      <c r="C26" s="110">
        <v>18.180320739746094</v>
      </c>
      <c r="D26" s="111">
        <v>803.18297805169</v>
      </c>
      <c r="E26" s="111">
        <v>803.18297805169</v>
      </c>
      <c r="F26" s="111">
        <v>808.6435856020004</v>
      </c>
      <c r="G26" s="112">
        <v>0.10339876256543135</v>
      </c>
      <c r="H26" s="113">
        <v>0.4799142610573556</v>
      </c>
      <c r="I26" s="111">
        <v>109.29351312657032</v>
      </c>
      <c r="J26" s="111">
        <v>109.25324403075456</v>
      </c>
      <c r="K26" s="111">
        <v>109.29628137022917</v>
      </c>
      <c r="L26" s="111">
        <v>109.3233213824005</v>
      </c>
      <c r="M26" s="111">
        <v>107.72128060263655</v>
      </c>
      <c r="N26" s="111"/>
      <c r="R26" s="1">
        <f t="shared" si="3"/>
        <v>800</v>
      </c>
      <c r="S26" s="119">
        <v>108.82193656120467</v>
      </c>
      <c r="T26" s="119">
        <v>107.24595995175294</v>
      </c>
      <c r="U26" s="119">
        <f t="shared" si="1"/>
        <v>109.44543871907788</v>
      </c>
      <c r="V26" s="119">
        <f t="shared" si="2"/>
        <v>109.58694689640105</v>
      </c>
    </row>
    <row r="27" spans="1:22" ht="13.5">
      <c r="A27" s="109">
        <f t="shared" si="0"/>
        <v>19</v>
      </c>
      <c r="C27" s="110">
        <v>19.190343856811523</v>
      </c>
      <c r="D27" s="111">
        <v>803.2895373801703</v>
      </c>
      <c r="E27" s="111">
        <v>803.2895373801698</v>
      </c>
      <c r="F27" s="111">
        <v>808.3146155635883</v>
      </c>
      <c r="G27" s="112">
        <v>0.1033976330722568</v>
      </c>
      <c r="H27" s="113">
        <v>0.4796620072041448</v>
      </c>
      <c r="I27" s="111">
        <v>109.33146974939851</v>
      </c>
      <c r="J27" s="111">
        <v>109.2946950325514</v>
      </c>
      <c r="K27" s="111">
        <v>109.33368155065561</v>
      </c>
      <c r="L27" s="111">
        <v>109.3552015832455</v>
      </c>
      <c r="M27" s="111">
        <v>107.72128060263655</v>
      </c>
      <c r="N27" s="111"/>
      <c r="R27" s="1">
        <f t="shared" si="3"/>
        <v>810</v>
      </c>
      <c r="S27" s="119">
        <v>109.04477234213432</v>
      </c>
      <c r="T27" s="119">
        <v>107.15139874284674</v>
      </c>
      <c r="U27" s="119">
        <f t="shared" si="1"/>
        <v>109.6656993410233</v>
      </c>
      <c r="V27" s="119">
        <f t="shared" si="2"/>
        <v>109.49032158591359</v>
      </c>
    </row>
    <row r="28" spans="1:22" ht="13.5">
      <c r="A28" s="109">
        <f t="shared" si="0"/>
        <v>20</v>
      </c>
      <c r="C28" s="110">
        <v>20.200366973876953</v>
      </c>
      <c r="D28" s="111">
        <v>803.3868908779359</v>
      </c>
      <c r="E28" s="111">
        <v>803.3868908779359</v>
      </c>
      <c r="F28" s="111">
        <v>808.0123968544978</v>
      </c>
      <c r="G28" s="112">
        <v>0.10339632577209024</v>
      </c>
      <c r="H28" s="113">
        <v>0.47943681654304954</v>
      </c>
      <c r="I28" s="111">
        <v>109.365002246444</v>
      </c>
      <c r="J28" s="111">
        <v>109.33143479945635</v>
      </c>
      <c r="K28" s="111">
        <v>109.36675590721427</v>
      </c>
      <c r="L28" s="111">
        <v>109.38329498182362</v>
      </c>
      <c r="M28" s="111">
        <v>107.72128060263655</v>
      </c>
      <c r="N28" s="111"/>
      <c r="R28" s="1">
        <f t="shared" si="3"/>
        <v>820</v>
      </c>
      <c r="S28" s="119">
        <v>109.26852260181943</v>
      </c>
      <c r="T28" s="119">
        <v>107.05700414058884</v>
      </c>
      <c r="U28" s="119">
        <f t="shared" si="1"/>
        <v>109.88684830652511</v>
      </c>
      <c r="V28" s="119">
        <f t="shared" si="2"/>
        <v>109.39386651879875</v>
      </c>
    </row>
    <row r="29" spans="1:22" ht="13.5">
      <c r="A29" s="109">
        <f t="shared" si="0"/>
        <v>21</v>
      </c>
      <c r="C29" s="110">
        <v>21.210390090942383</v>
      </c>
      <c r="D29" s="111">
        <v>803.476226393339</v>
      </c>
      <c r="E29" s="111">
        <v>803.476226393339</v>
      </c>
      <c r="F29" s="111">
        <v>807.734092145064</v>
      </c>
      <c r="G29" s="112">
        <v>0.10339485133661852</v>
      </c>
      <c r="H29" s="113">
        <v>0.47923575291783715</v>
      </c>
      <c r="I29" s="111">
        <v>109.39460083321346</v>
      </c>
      <c r="J29" s="111">
        <v>109.36396218577548</v>
      </c>
      <c r="K29" s="111">
        <v>109.39598565809919</v>
      </c>
      <c r="L29" s="111">
        <v>109.40825344049661</v>
      </c>
      <c r="M29" s="111">
        <v>107.72128060263655</v>
      </c>
      <c r="N29" s="111"/>
      <c r="R29" s="1">
        <f t="shared" si="3"/>
        <v>830</v>
      </c>
      <c r="S29" s="119">
        <v>109.49319298112391</v>
      </c>
      <c r="T29" s="119">
        <v>106.96277570505244</v>
      </c>
      <c r="U29" s="119">
        <f t="shared" si="1"/>
        <v>110.10889100067352</v>
      </c>
      <c r="V29" s="119">
        <f t="shared" si="2"/>
        <v>109.29758124552687</v>
      </c>
    </row>
    <row r="30" spans="1:22" ht="13.5">
      <c r="A30" s="109">
        <f t="shared" si="0"/>
        <v>22</v>
      </c>
      <c r="C30" s="110">
        <v>22.220413208007812</v>
      </c>
      <c r="D30" s="111">
        <v>803.5584550767189</v>
      </c>
      <c r="E30" s="111">
        <v>803.5584550767189</v>
      </c>
      <c r="F30" s="111">
        <v>807.4774350869022</v>
      </c>
      <c r="G30" s="112">
        <v>0.10339324223562318</v>
      </c>
      <c r="H30" s="113">
        <v>0.4790559758471822</v>
      </c>
      <c r="I30" s="111">
        <v>109.42075596640929</v>
      </c>
      <c r="J30" s="111">
        <v>109.39278306379573</v>
      </c>
      <c r="K30" s="111">
        <v>109.42184948891858</v>
      </c>
      <c r="L30" s="111">
        <v>109.43060180316583</v>
      </c>
      <c r="M30" s="111">
        <v>107.72128060263655</v>
      </c>
      <c r="N30" s="111"/>
      <c r="R30" s="1">
        <f t="shared" si="3"/>
        <v>840</v>
      </c>
      <c r="S30" s="119">
        <v>109.71878916740069</v>
      </c>
      <c r="T30" s="119">
        <v>106.8687129978581</v>
      </c>
      <c r="U30" s="119">
        <f t="shared" si="1"/>
        <v>110.33183285217237</v>
      </c>
      <c r="V30" s="119">
        <f t="shared" si="2"/>
        <v>109.20146531814952</v>
      </c>
    </row>
    <row r="31" spans="1:22" ht="13.5">
      <c r="A31" s="109">
        <f t="shared" si="0"/>
        <v>23</v>
      </c>
      <c r="C31" s="110">
        <v>23.230436325073242</v>
      </c>
      <c r="D31" s="111">
        <v>803.6342916013591</v>
      </c>
      <c r="E31" s="111">
        <v>803.6342916013598</v>
      </c>
      <c r="F31" s="111">
        <v>807.240560569516</v>
      </c>
      <c r="G31" s="112">
        <v>0.10339154027162212</v>
      </c>
      <c r="H31" s="113">
        <v>0.47889485942471527</v>
      </c>
      <c r="I31" s="111">
        <v>109.44392827573907</v>
      </c>
      <c r="J31" s="111">
        <v>109.41837714824409</v>
      </c>
      <c r="K31" s="111">
        <v>109.44479549541333</v>
      </c>
      <c r="L31" s="111">
        <v>109.45075726930203</v>
      </c>
      <c r="M31" s="111">
        <v>107.72128060263655</v>
      </c>
      <c r="N31" s="111"/>
      <c r="R31" s="1">
        <f t="shared" si="3"/>
        <v>850</v>
      </c>
      <c r="S31" s="119">
        <v>109.9453168949716</v>
      </c>
      <c r="T31" s="119">
        <v>106.77481558216716</v>
      </c>
      <c r="U31" s="119">
        <f t="shared" si="1"/>
        <v>110.55567933378151</v>
      </c>
      <c r="V31" s="119">
        <f t="shared" si="2"/>
        <v>109.1055182902926</v>
      </c>
    </row>
    <row r="32" spans="1:22" ht="13.5">
      <c r="A32" s="109">
        <f t="shared" si="0"/>
        <v>24</v>
      </c>
      <c r="C32" s="110">
        <v>24.240459442138672</v>
      </c>
      <c r="D32" s="111">
        <v>803.7043117139683</v>
      </c>
      <c r="E32" s="111">
        <v>803.7043117139688</v>
      </c>
      <c r="F32" s="111">
        <v>807.0218873379108</v>
      </c>
      <c r="G32" s="112">
        <v>0.10338978864110948</v>
      </c>
      <c r="H32" s="113">
        <v>0.47875004990713776</v>
      </c>
      <c r="I32" s="111">
        <v>109.46453286306007</v>
      </c>
      <c r="J32" s="111">
        <v>109.44118012167898</v>
      </c>
      <c r="K32" s="111">
        <v>109.46522672249962</v>
      </c>
      <c r="L32" s="111">
        <v>109.46904865778069</v>
      </c>
      <c r="M32" s="111">
        <v>107.72128060263655</v>
      </c>
      <c r="N32" s="111"/>
      <c r="R32" s="1">
        <f t="shared" si="3"/>
        <v>860</v>
      </c>
      <c r="S32" s="119">
        <v>110.17278194561325</v>
      </c>
      <c r="T32" s="119">
        <v>106.68108302267484</v>
      </c>
      <c r="U32" s="119">
        <f t="shared" si="1"/>
        <v>110.78043596276471</v>
      </c>
      <c r="V32" s="119">
        <f t="shared" si="2"/>
        <v>109.00973971714942</v>
      </c>
    </row>
    <row r="33" spans="1:22" ht="13.5">
      <c r="A33" s="109">
        <f t="shared" si="0"/>
        <v>25</v>
      </c>
      <c r="C33" s="110">
        <v>25.2504825592041</v>
      </c>
      <c r="D33" s="111">
        <v>803.7689932012554</v>
      </c>
      <c r="E33" s="111">
        <v>803.7689932012554</v>
      </c>
      <c r="F33" s="111">
        <v>806.8200372424997</v>
      </c>
      <c r="G33" s="112">
        <v>0.10338802721373885</v>
      </c>
      <c r="H33" s="113">
        <v>0.4786194831039844</v>
      </c>
      <c r="I33" s="111">
        <v>109.48293308017548</v>
      </c>
      <c r="J33" s="111">
        <v>109.46157595959843</v>
      </c>
      <c r="K33" s="111">
        <v>109.4834956366111</v>
      </c>
      <c r="L33" s="111">
        <v>109.48573408256802</v>
      </c>
      <c r="M33" s="111">
        <v>107.72128060263655</v>
      </c>
      <c r="N33" s="111"/>
      <c r="R33" s="1">
        <f t="shared" si="3"/>
        <v>870</v>
      </c>
      <c r="S33" s="119">
        <v>110.401190149049</v>
      </c>
      <c r="T33" s="119">
        <v>106.58751488560354</v>
      </c>
      <c r="U33" s="119">
        <f t="shared" si="1"/>
        <v>111.00610830134289</v>
      </c>
      <c r="V33" s="119">
        <f t="shared" si="2"/>
        <v>108.91412915547382</v>
      </c>
    </row>
    <row r="34" spans="1:22" ht="13.5">
      <c r="A34" s="109">
        <f t="shared" si="0"/>
        <v>26</v>
      </c>
      <c r="C34" s="110">
        <v>26.26050567626953</v>
      </c>
      <c r="D34" s="111">
        <v>803.8287447207695</v>
      </c>
      <c r="E34" s="111">
        <v>803.8287447207695</v>
      </c>
      <c r="F34" s="111">
        <v>806.6337801827802</v>
      </c>
      <c r="G34" s="112">
        <v>0.10338629004345279</v>
      </c>
      <c r="H34" s="113">
        <v>0.47850137670551507</v>
      </c>
      <c r="I34" s="111">
        <v>109.49944029779395</v>
      </c>
      <c r="J34" s="111">
        <v>109.47989578651253</v>
      </c>
      <c r="K34" s="111">
        <v>109.49990421648256</v>
      </c>
      <c r="L34" s="111">
        <v>109.50101633322052</v>
      </c>
      <c r="M34" s="111">
        <v>107.72128060263655</v>
      </c>
      <c r="N34" s="111"/>
      <c r="R34" s="1">
        <f t="shared" si="3"/>
        <v>880</v>
      </c>
      <c r="S34" s="119">
        <v>110.63054738344687</v>
      </c>
      <c r="T34" s="119">
        <v>106.49411073869621</v>
      </c>
      <c r="U34" s="119">
        <f t="shared" si="1"/>
        <v>111.23270195715301</v>
      </c>
      <c r="V34" s="119">
        <f t="shared" si="2"/>
        <v>108.8186861635733</v>
      </c>
    </row>
    <row r="35" spans="1:22" ht="13.5">
      <c r="A35" s="109">
        <f t="shared" si="0"/>
        <v>27</v>
      </c>
      <c r="C35" s="110">
        <v>27.27052879333496</v>
      </c>
      <c r="D35" s="111">
        <v>803.8839257853288</v>
      </c>
      <c r="E35" s="111">
        <v>803.8839257853288</v>
      </c>
      <c r="F35" s="111">
        <v>806.4619970478565</v>
      </c>
      <c r="G35" s="112">
        <v>0.10338460437856756</v>
      </c>
      <c r="H35" s="113">
        <v>0.4783942081817815</v>
      </c>
      <c r="I35" s="111">
        <v>109.51431721904991</v>
      </c>
      <c r="J35" s="111">
        <v>109.49642066772063</v>
      </c>
      <c r="K35" s="111">
        <v>109.51470734496031</v>
      </c>
      <c r="L35" s="111">
        <v>109.51505573921719</v>
      </c>
      <c r="M35" s="111">
        <v>107.72128060263655</v>
      </c>
      <c r="N35" s="111"/>
      <c r="R35" s="1">
        <f t="shared" si="3"/>
        <v>890</v>
      </c>
      <c r="S35" s="119">
        <v>110.86085957592394</v>
      </c>
      <c r="T35" s="119">
        <v>106.4008701512096</v>
      </c>
      <c r="U35" s="119">
        <f t="shared" si="1"/>
        <v>111.4602225837125</v>
      </c>
      <c r="V35" s="119">
        <f t="shared" si="2"/>
        <v>108.72341030130231</v>
      </c>
    </row>
    <row r="36" spans="1:22" ht="13.5">
      <c r="A36" s="109">
        <f t="shared" si="0"/>
        <v>28</v>
      </c>
      <c r="C36" s="110">
        <v>28.28055191040039</v>
      </c>
      <c r="D36" s="111">
        <v>803.9348603498529</v>
      </c>
      <c r="E36" s="111">
        <v>803.9348603498529</v>
      </c>
      <c r="F36" s="111">
        <v>806.3036551866643</v>
      </c>
      <c r="G36" s="112">
        <v>0.10338299063281498</v>
      </c>
      <c r="H36" s="113">
        <v>0.4782966855394067</v>
      </c>
      <c r="I36" s="111">
        <v>109.52778305791169</v>
      </c>
      <c r="J36" s="111">
        <v>109.51138653937366</v>
      </c>
      <c r="K36" s="111">
        <v>109.52811791634048</v>
      </c>
      <c r="L36" s="111">
        <v>109.5279805884924</v>
      </c>
      <c r="M36" s="111">
        <v>107.72128060263655</v>
      </c>
      <c r="N36" s="111"/>
      <c r="R36" s="1">
        <f t="shared" si="3"/>
        <v>900</v>
      </c>
      <c r="S36" s="119">
        <v>111.09213270305683</v>
      </c>
      <c r="T36" s="119">
        <v>106.3077926939077</v>
      </c>
      <c r="U36" s="119">
        <f t="shared" si="1"/>
        <v>111.6886758808895</v>
      </c>
      <c r="V36" s="119">
        <f t="shared" si="2"/>
        <v>108.62830113005535</v>
      </c>
    </row>
    <row r="37" spans="1:14" ht="13.5">
      <c r="A37" s="109">
        <f t="shared" si="0"/>
        <v>29</v>
      </c>
      <c r="C37" s="110">
        <v>29.29057502746582</v>
      </c>
      <c r="D37" s="111">
        <v>803.9818458290056</v>
      </c>
      <c r="E37" s="111">
        <v>803.9818458290056</v>
      </c>
      <c r="F37" s="111">
        <v>806.1577924984329</v>
      </c>
      <c r="G37" s="112">
        <v>0.1033814629294445</v>
      </c>
      <c r="H37" s="113">
        <v>0.47820771576171583</v>
      </c>
      <c r="I37" s="111">
        <v>109.54001946330914</v>
      </c>
      <c r="J37" s="111">
        <v>109.52499006722469</v>
      </c>
      <c r="K37" s="111">
        <v>109.54031260671418</v>
      </c>
      <c r="L37" s="111">
        <v>109.53989533165415</v>
      </c>
      <c r="M37" s="111">
        <v>107.72128060263655</v>
      </c>
      <c r="N37" s="111"/>
    </row>
    <row r="38" spans="1:14" ht="13.5">
      <c r="A38" s="109">
        <f t="shared" si="0"/>
        <v>30</v>
      </c>
      <c r="C38" s="110">
        <v>30.000591278076172</v>
      </c>
      <c r="D38" s="111">
        <v>804.0122395099934</v>
      </c>
      <c r="E38" s="111">
        <v>804.0122395099934</v>
      </c>
      <c r="F38" s="111">
        <v>806.0635440511651</v>
      </c>
      <c r="G38" s="112">
        <v>0.1033804593685943</v>
      </c>
      <c r="H38" s="113">
        <v>0.4781505785235966</v>
      </c>
      <c r="I38" s="111">
        <v>109.5478589536273</v>
      </c>
      <c r="J38" s="111">
        <v>109.53370618970456</v>
      </c>
      <c r="K38" s="111">
        <v>109.54812908587205</v>
      </c>
      <c r="L38" s="111">
        <v>109.54760677084064</v>
      </c>
      <c r="M38" s="111">
        <v>107.72128060263655</v>
      </c>
      <c r="N38" s="111"/>
    </row>
    <row r="39" ht="13.5">
      <c r="A39" s="109"/>
    </row>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7"/>
  <dimension ref="A3:R32"/>
  <sheetViews>
    <sheetView showGridLines="0" zoomScalePageLayoutView="0" workbookViewId="0" topLeftCell="A1">
      <selection activeCell="A1" sqref="A1"/>
    </sheetView>
  </sheetViews>
  <sheetFormatPr defaultColWidth="9.00390625" defaultRowHeight="13.5"/>
  <cols>
    <col min="1" max="1" width="8.75390625" style="0" customWidth="1"/>
    <col min="2" max="3" width="8.625" style="0" customWidth="1"/>
    <col min="4" max="4" width="4.75390625" style="0" customWidth="1"/>
    <col min="5" max="12" width="8.625" style="0" customWidth="1"/>
    <col min="13" max="13" width="4.875" style="0" customWidth="1"/>
    <col min="14" max="19" width="8.625" style="0" customWidth="1"/>
    <col min="22" max="22" width="4.75390625" style="0" customWidth="1"/>
  </cols>
  <sheetData>
    <row r="2" ht="13.5" customHeight="1"/>
    <row r="3" spans="3:9" ht="13.5" customHeight="1">
      <c r="C3" s="3"/>
      <c r="D3" s="3"/>
      <c r="E3" s="3"/>
      <c r="F3" s="120" t="s">
        <v>51</v>
      </c>
      <c r="H3" s="3"/>
      <c r="I3" s="3"/>
    </row>
    <row r="4" spans="2:9" ht="13.5" customHeight="1">
      <c r="B4" s="3"/>
      <c r="C4" s="3"/>
      <c r="D4" s="3"/>
      <c r="E4" s="3"/>
      <c r="F4" s="3"/>
      <c r="G4" s="3"/>
      <c r="H4" s="3"/>
      <c r="I4" s="3"/>
    </row>
    <row r="5" spans="1:11" ht="13.5" customHeight="1">
      <c r="A5" s="3"/>
      <c r="B5" s="3"/>
      <c r="C5" s="3"/>
      <c r="D5" s="3"/>
      <c r="E5" s="3"/>
      <c r="F5" s="3"/>
      <c r="G5" s="3"/>
      <c r="K5" s="121" t="s">
        <v>52</v>
      </c>
    </row>
    <row r="6" spans="1:11" ht="13.5" customHeight="1">
      <c r="A6" s="3"/>
      <c r="C6" s="3"/>
      <c r="D6" s="3"/>
      <c r="E6" s="3"/>
      <c r="F6" s="3"/>
      <c r="G6" s="3"/>
      <c r="K6" s="121" t="s">
        <v>149</v>
      </c>
    </row>
    <row r="7" spans="1:14" ht="13.5" customHeight="1">
      <c r="A7" s="3"/>
      <c r="B7" s="3"/>
      <c r="D7" s="3"/>
      <c r="F7" s="3"/>
      <c r="G7" s="3"/>
      <c r="H7" s="3"/>
      <c r="J7" s="3"/>
      <c r="K7" s="121" t="s">
        <v>83</v>
      </c>
      <c r="M7" s="3"/>
      <c r="N7" s="3"/>
    </row>
    <row r="8" spans="1:11" ht="13.5" customHeight="1" thickBot="1">
      <c r="A8" s="3"/>
      <c r="B8" s="3"/>
      <c r="C8" s="282">
        <v>-0.28861114475876093</v>
      </c>
      <c r="D8" s="3"/>
      <c r="E8" s="295">
        <f>E24/E$18</f>
        <v>0</v>
      </c>
      <c r="F8" s="45">
        <v>0</v>
      </c>
      <c r="G8" s="45">
        <v>0</v>
      </c>
      <c r="H8" s="315">
        <v>0</v>
      </c>
      <c r="J8" s="3"/>
      <c r="K8" s="121"/>
    </row>
    <row r="9" spans="1:11" ht="13.5" customHeight="1">
      <c r="A9" s="3"/>
      <c r="B9" s="3"/>
      <c r="C9" s="49" t="s">
        <v>23</v>
      </c>
      <c r="D9" s="94" t="s">
        <v>99</v>
      </c>
      <c r="E9" s="12" t="s">
        <v>2</v>
      </c>
      <c r="F9" s="12" t="s">
        <v>3</v>
      </c>
      <c r="G9" s="12" t="s">
        <v>4</v>
      </c>
      <c r="H9" s="12" t="s">
        <v>0</v>
      </c>
      <c r="J9" s="3"/>
      <c r="K9" s="3"/>
    </row>
    <row r="10" spans="1:11" ht="13.5" customHeight="1">
      <c r="A10" s="3"/>
      <c r="B10" s="3"/>
      <c r="C10" s="15">
        <f>-E24</f>
        <v>0</v>
      </c>
      <c r="D10" s="12" t="s">
        <v>2</v>
      </c>
      <c r="E10" s="448">
        <f>E26/E$18</f>
        <v>104588.82611424987</v>
      </c>
      <c r="F10" s="18">
        <f>-F8-SUM(F11:F13)</f>
        <v>-100</v>
      </c>
      <c r="G10" s="16">
        <f>-G8-SUM(G11:G13)</f>
        <v>-750</v>
      </c>
      <c r="H10" s="16">
        <f>-H8-SUM(H11:H13)</f>
        <v>-8766</v>
      </c>
      <c r="J10" s="3"/>
      <c r="K10" s="3"/>
    </row>
    <row r="11" spans="1:17" ht="13.5" customHeight="1">
      <c r="A11" s="3"/>
      <c r="B11" s="3"/>
      <c r="C11" s="19">
        <f>F26-E27</f>
        <v>-8035.153797865685</v>
      </c>
      <c r="D11" s="12" t="s">
        <v>3</v>
      </c>
      <c r="E11" s="296">
        <f>E27/E$18</f>
        <v>-40175.76898932832</v>
      </c>
      <c r="F11" s="123">
        <v>50</v>
      </c>
      <c r="G11" s="124">
        <v>150</v>
      </c>
      <c r="H11" s="124">
        <v>1000</v>
      </c>
      <c r="J11" s="3"/>
      <c r="K11" s="3"/>
      <c r="N11" s="125">
        <f>L18*F11+F10</f>
        <v>-44.99999999999999</v>
      </c>
      <c r="O11" s="125">
        <f>L18*G11</f>
        <v>165</v>
      </c>
      <c r="P11" s="3"/>
      <c r="Q11" s="125">
        <f>-L18*H11*H18</f>
        <v>-22000</v>
      </c>
    </row>
    <row r="12" spans="1:17" ht="13.5" customHeight="1">
      <c r="A12" s="3"/>
      <c r="B12" s="3"/>
      <c r="C12" s="19">
        <f>G26-E28</f>
        <v>-7344.632768361582</v>
      </c>
      <c r="D12" s="12" t="s">
        <v>4</v>
      </c>
      <c r="E12" s="297">
        <f>E28/E$18</f>
        <v>-36723.16384180792</v>
      </c>
      <c r="F12" s="126">
        <v>30</v>
      </c>
      <c r="G12" s="127">
        <v>250</v>
      </c>
      <c r="H12" s="128">
        <v>1000</v>
      </c>
      <c r="J12" s="3"/>
      <c r="K12" s="3"/>
      <c r="N12" s="125">
        <f>L18*F12</f>
        <v>33</v>
      </c>
      <c r="O12" s="125">
        <f>L18*G12+G10</f>
        <v>-475</v>
      </c>
      <c r="P12" s="3"/>
      <c r="Q12" s="125">
        <f>-L18*H12*H18</f>
        <v>-22000</v>
      </c>
    </row>
    <row r="13" spans="1:17" ht="13.5" customHeight="1" thickBot="1">
      <c r="A13" s="3"/>
      <c r="B13" s="3"/>
      <c r="C13" s="30">
        <f>H26-E29</f>
        <v>15379.78656622726</v>
      </c>
      <c r="D13" s="9" t="s">
        <v>0</v>
      </c>
      <c r="E13" s="92">
        <f>E29/E$18</f>
        <v>-27689.89328311363</v>
      </c>
      <c r="F13" s="183">
        <v>20</v>
      </c>
      <c r="G13" s="184">
        <v>350</v>
      </c>
      <c r="H13" s="185">
        <v>6766</v>
      </c>
      <c r="J13" s="3"/>
      <c r="K13" s="3"/>
      <c r="N13" s="125">
        <f>F13+L15*(F11+F12)</f>
        <v>12</v>
      </c>
      <c r="O13" s="125">
        <f>G13+L15*(G11+G12)</f>
        <v>310</v>
      </c>
      <c r="P13" s="3"/>
      <c r="Q13" s="125">
        <f>H18*(-H10-H13-L15*(H11+H12))</f>
        <v>44000</v>
      </c>
    </row>
    <row r="14" spans="1:17" ht="13.5" customHeight="1">
      <c r="A14" s="3"/>
      <c r="B14" s="3"/>
      <c r="J14" s="3"/>
      <c r="K14" s="3"/>
      <c r="L14" s="13" t="s">
        <v>106</v>
      </c>
      <c r="N14" s="3"/>
      <c r="O14" s="3"/>
      <c r="P14" s="3"/>
      <c r="Q14" s="3"/>
    </row>
    <row r="15" spans="1:18" ht="13.5" customHeight="1" thickBot="1">
      <c r="A15" s="3"/>
      <c r="D15" s="3"/>
      <c r="E15" s="3"/>
      <c r="F15" s="3"/>
      <c r="G15" s="3"/>
      <c r="H15" s="3"/>
      <c r="J15" s="3"/>
      <c r="K15" s="3"/>
      <c r="L15" s="130">
        <f>-C18</f>
        <v>-0.1</v>
      </c>
      <c r="M15" s="3"/>
      <c r="N15" s="125">
        <f>N11*N11+N12*N12+N13*N13</f>
        <v>3257.999999999999</v>
      </c>
      <c r="O15" s="125">
        <f>N11*O11+N12*O12+N13*O13</f>
        <v>-19380</v>
      </c>
      <c r="P15" s="3"/>
      <c r="Q15" s="125">
        <f>N11*Q11+N12*Q12+N13*Q13</f>
        <v>791999.9999999999</v>
      </c>
      <c r="R15" s="3"/>
    </row>
    <row r="16" spans="1:17" ht="13.5" customHeight="1">
      <c r="A16" s="3"/>
      <c r="J16" s="3"/>
      <c r="K16" s="3"/>
      <c r="L16" s="3"/>
      <c r="N16" s="125">
        <f>O15</f>
        <v>-19380</v>
      </c>
      <c r="O16" s="125">
        <f>O11*O11+O12*O12+O13*O13</f>
        <v>348950</v>
      </c>
      <c r="P16" s="3"/>
      <c r="Q16" s="125">
        <f>O11*Q11+O12*Q12+O13*Q13</f>
        <v>20460000</v>
      </c>
    </row>
    <row r="17" spans="1:12" ht="13.5" customHeight="1">
      <c r="A17" s="3"/>
      <c r="B17" s="3"/>
      <c r="C17" s="353" t="s">
        <v>152</v>
      </c>
      <c r="D17" s="3"/>
      <c r="E17" s="12" t="s">
        <v>2</v>
      </c>
      <c r="F17" s="12" t="s">
        <v>3</v>
      </c>
      <c r="G17" s="12" t="s">
        <v>4</v>
      </c>
      <c r="H17" s="12" t="s">
        <v>0</v>
      </c>
      <c r="J17" s="3"/>
      <c r="K17" s="3"/>
      <c r="L17" s="41" t="s">
        <v>153</v>
      </c>
    </row>
    <row r="18" spans="1:17" ht="13.5" customHeight="1" thickBot="1">
      <c r="A18" s="3"/>
      <c r="B18" s="3"/>
      <c r="C18" s="177">
        <v>0.1</v>
      </c>
      <c r="D18" s="94" t="s">
        <v>81</v>
      </c>
      <c r="E18" s="449">
        <v>2</v>
      </c>
      <c r="F18" s="178">
        <f>N18/Q18</f>
        <v>883.8669177652231</v>
      </c>
      <c r="G18" s="179">
        <f>O18/Q18</f>
        <v>107.72128060263655</v>
      </c>
      <c r="H18" s="180">
        <v>20</v>
      </c>
      <c r="I18" s="2"/>
      <c r="J18" s="2"/>
      <c r="K18" s="2"/>
      <c r="L18" s="29">
        <f>1-L15</f>
        <v>1.1</v>
      </c>
      <c r="M18" s="2"/>
      <c r="N18" s="181">
        <f>Q15*O16-Q16*O15</f>
        <v>672883200000</v>
      </c>
      <c r="O18" s="181">
        <f>N15*Q16-N16*Q15</f>
        <v>82007639999.99998</v>
      </c>
      <c r="Q18" s="131">
        <f>N15*O16-N16*O15</f>
        <v>761294699.9999998</v>
      </c>
    </row>
    <row r="19" spans="1:13" ht="13.5" customHeight="1">
      <c r="A19" s="3"/>
      <c r="B19" s="3"/>
      <c r="C19" s="84" t="s">
        <v>53</v>
      </c>
      <c r="D19" s="3"/>
      <c r="F19" s="3"/>
      <c r="G19" s="3"/>
      <c r="H19" s="132" t="s">
        <v>21</v>
      </c>
      <c r="J19" s="3"/>
      <c r="K19" s="3"/>
      <c r="M19" s="3"/>
    </row>
    <row r="20" spans="1:13" ht="13.5" customHeight="1">
      <c r="A20" s="3"/>
      <c r="B20" s="3"/>
      <c r="H20" s="132" t="s">
        <v>54</v>
      </c>
      <c r="J20" s="3"/>
      <c r="K20" s="3"/>
      <c r="M20" s="3"/>
    </row>
    <row r="21" spans="1:13" ht="13.5" customHeight="1">
      <c r="A21" s="3"/>
      <c r="B21" s="3"/>
      <c r="K21" s="3"/>
      <c r="M21" s="3"/>
    </row>
    <row r="22" spans="1:13" ht="13.5" customHeight="1">
      <c r="A22" s="3"/>
      <c r="B22" s="3"/>
      <c r="D22" s="3"/>
      <c r="E22" s="3"/>
      <c r="F22" s="3"/>
      <c r="G22" s="3"/>
      <c r="H22" s="3"/>
      <c r="I22" s="3"/>
      <c r="J22" s="3"/>
      <c r="K22" s="3"/>
      <c r="M22" s="3"/>
    </row>
    <row r="23" spans="1:11" ht="13.5" customHeight="1">
      <c r="A23" s="3"/>
      <c r="B23" s="3"/>
      <c r="K23" s="3"/>
    </row>
    <row r="24" spans="1:11" ht="13.5" customHeight="1" thickBot="1">
      <c r="A24" s="3"/>
      <c r="B24" s="3"/>
      <c r="D24" s="3"/>
      <c r="E24" s="290">
        <f>-SUM(F24:H24)</f>
        <v>0</v>
      </c>
      <c r="F24" s="291">
        <f>F$18*F8</f>
        <v>0</v>
      </c>
      <c r="G24" s="291">
        <f>G$18*G8</f>
        <v>0</v>
      </c>
      <c r="H24" s="314">
        <f>H$18*H8</f>
        <v>0</v>
      </c>
      <c r="K24" s="3"/>
    </row>
    <row r="25" spans="1:11" ht="13.5" customHeight="1">
      <c r="A25" s="3"/>
      <c r="B25" s="3"/>
      <c r="D25" s="318" t="s">
        <v>98</v>
      </c>
      <c r="E25" s="12" t="s">
        <v>2</v>
      </c>
      <c r="F25" s="12" t="s">
        <v>3</v>
      </c>
      <c r="G25" s="12" t="s">
        <v>4</v>
      </c>
      <c r="H25" s="12" t="s">
        <v>0</v>
      </c>
      <c r="K25" s="3"/>
    </row>
    <row r="26" spans="1:11" ht="13.5" customHeight="1">
      <c r="A26" s="3"/>
      <c r="B26" s="3"/>
      <c r="D26" s="12" t="s">
        <v>2</v>
      </c>
      <c r="E26" s="15">
        <f>-SUM(F26:H26)</f>
        <v>209177.65222849973</v>
      </c>
      <c r="F26" s="85">
        <f>-F24-SUM(F27:F29)</f>
        <v>-88386.69177652232</v>
      </c>
      <c r="G26" s="86">
        <f>-G24-SUM(G27:G29)</f>
        <v>-80790.96045197741</v>
      </c>
      <c r="H26" s="86">
        <f>-H24-SUM(H27:H29)</f>
        <v>-40000</v>
      </c>
      <c r="K26" s="3"/>
    </row>
    <row r="27" spans="1:11" ht="13.5" customHeight="1">
      <c r="A27" s="3"/>
      <c r="B27" s="41" t="s">
        <v>55</v>
      </c>
      <c r="C27" s="133">
        <f>C11/E27</f>
        <v>0.10000000000000027</v>
      </c>
      <c r="D27" s="12" t="s">
        <v>3</v>
      </c>
      <c r="E27" s="75">
        <f>-SUM(F27:H27)</f>
        <v>-80351.53797865663</v>
      </c>
      <c r="F27" s="76">
        <f aca="true" t="shared" si="0" ref="F27:H28">F$18*F11</f>
        <v>44193.34588826115</v>
      </c>
      <c r="G27" s="77">
        <f t="shared" si="0"/>
        <v>16158.192090395483</v>
      </c>
      <c r="H27" s="77">
        <f t="shared" si="0"/>
        <v>20000</v>
      </c>
      <c r="K27" s="3"/>
    </row>
    <row r="28" spans="1:11" ht="13.5" customHeight="1">
      <c r="A28" s="3"/>
      <c r="B28" s="132" t="s">
        <v>56</v>
      </c>
      <c r="C28" s="133">
        <f>C12/E28</f>
        <v>0.09999999999999998</v>
      </c>
      <c r="D28" s="12" t="s">
        <v>4</v>
      </c>
      <c r="E28" s="81">
        <f>-SUM(F28:H28)</f>
        <v>-73446.32768361583</v>
      </c>
      <c r="F28" s="82">
        <f t="shared" si="0"/>
        <v>26516.007532956693</v>
      </c>
      <c r="G28" s="83">
        <f t="shared" si="0"/>
        <v>26930.32015065914</v>
      </c>
      <c r="H28" s="78">
        <f t="shared" si="0"/>
        <v>20000</v>
      </c>
      <c r="K28" s="3"/>
    </row>
    <row r="29" spans="1:11" ht="13.5" customHeight="1" thickBot="1">
      <c r="A29" s="3"/>
      <c r="B29" s="132" t="s">
        <v>57</v>
      </c>
      <c r="D29" s="12" t="s">
        <v>0</v>
      </c>
      <c r="E29" s="292">
        <f>-SUM(F29:H29)</f>
        <v>-55379.78656622726</v>
      </c>
      <c r="F29" s="293">
        <f>F$18*F13</f>
        <v>17677.338355304462</v>
      </c>
      <c r="G29" s="294">
        <f>G$18*G13</f>
        <v>37702.4482109228</v>
      </c>
      <c r="H29" s="229">
        <v>0</v>
      </c>
      <c r="K29" s="3"/>
    </row>
    <row r="30" spans="1:11" ht="13.5" customHeight="1">
      <c r="A30" s="3"/>
      <c r="B30" s="3"/>
      <c r="K30" s="3"/>
    </row>
    <row r="31" spans="1:11" ht="13.5" customHeight="1">
      <c r="A31" s="3"/>
      <c r="B31" s="3"/>
      <c r="K31" s="3"/>
    </row>
    <row r="32" spans="1:11" ht="13.5" customHeight="1">
      <c r="A32" s="3"/>
      <c r="B32" s="3"/>
      <c r="J32" s="3"/>
      <c r="K32" s="3"/>
    </row>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4"/>
  <drawing r:id="rId3"/>
  <legacyDrawing r:id="rId2"/>
  <oleObjects>
    <oleObject progId="Adobe Photoshop Image" shapeId="60489530" r:id="rId1"/>
  </oleObjects>
</worksheet>
</file>

<file path=xl/worksheets/sheet6.xml><?xml version="1.0" encoding="utf-8"?>
<worksheet xmlns="http://schemas.openxmlformats.org/spreadsheetml/2006/main" xmlns:r="http://schemas.openxmlformats.org/officeDocument/2006/relationships">
  <sheetPr codeName="Sheet5"/>
  <dimension ref="A3:T53"/>
  <sheetViews>
    <sheetView showGridLines="0" zoomScalePageLayoutView="0" workbookViewId="0" topLeftCell="A1">
      <selection activeCell="A1" sqref="A1"/>
    </sheetView>
  </sheetViews>
  <sheetFormatPr defaultColWidth="9.00390625" defaultRowHeight="13.5"/>
  <cols>
    <col min="1" max="1" width="6.125" style="0" customWidth="1"/>
    <col min="2" max="2" width="9.50390625" style="0" customWidth="1"/>
    <col min="3" max="3" width="8.625" style="0" customWidth="1"/>
    <col min="4" max="4" width="4.625" style="0" customWidth="1"/>
    <col min="5" max="26" width="8.625" style="0" customWidth="1"/>
  </cols>
  <sheetData>
    <row r="3" ht="15.75">
      <c r="G3" s="120" t="s">
        <v>78</v>
      </c>
    </row>
    <row r="4" ht="13.5" customHeight="1">
      <c r="M4" s="3"/>
    </row>
    <row r="5" spans="11:13" ht="13.5" customHeight="1">
      <c r="K5" s="3"/>
      <c r="L5" s="134" t="s">
        <v>58</v>
      </c>
      <c r="M5" s="3"/>
    </row>
    <row r="6" spans="3:13" ht="13.5" customHeight="1">
      <c r="C6" s="3"/>
      <c r="D6" s="3"/>
      <c r="E6" s="3"/>
      <c r="F6" s="3"/>
      <c r="G6" s="3"/>
      <c r="H6" s="3"/>
      <c r="I6" s="3"/>
      <c r="K6" s="3"/>
      <c r="L6" s="3"/>
      <c r="M6" s="3"/>
    </row>
    <row r="7" spans="2:20" ht="13.5" customHeight="1">
      <c r="B7" s="3"/>
      <c r="C7" s="3"/>
      <c r="D7" s="3"/>
      <c r="F7" s="3"/>
      <c r="K7" s="3"/>
      <c r="L7" s="135"/>
      <c r="M7" s="135"/>
      <c r="N7" s="136" t="s">
        <v>59</v>
      </c>
      <c r="O7" s="134" t="s">
        <v>60</v>
      </c>
      <c r="P7" s="135"/>
      <c r="Q7" s="135"/>
      <c r="R7" s="135"/>
      <c r="S7" s="135"/>
      <c r="T7" s="137"/>
    </row>
    <row r="8" spans="1:20" ht="13.5" customHeight="1">
      <c r="A8" s="3"/>
      <c r="B8" s="138"/>
      <c r="C8" s="3"/>
      <c r="J8" s="3"/>
      <c r="K8" s="3"/>
      <c r="L8" s="139" t="s">
        <v>61</v>
      </c>
      <c r="M8" s="140">
        <f>-F12</f>
        <v>100</v>
      </c>
      <c r="N8" s="141">
        <f>F19</f>
        <v>883.8669177652231</v>
      </c>
      <c r="O8" s="142">
        <f>M8*N8</f>
        <v>88386.6917765223</v>
      </c>
      <c r="P8" s="143">
        <f>O8-O9-O10-O11</f>
        <v>8035.153797865671</v>
      </c>
      <c r="Q8" s="144"/>
      <c r="R8" s="135"/>
      <c r="S8" s="135"/>
      <c r="T8" s="3"/>
    </row>
    <row r="9" spans="1:20" ht="13.5" customHeight="1">
      <c r="A9" s="3"/>
      <c r="J9" s="3"/>
      <c r="K9" s="3"/>
      <c r="L9" s="145" t="s">
        <v>62</v>
      </c>
      <c r="M9" s="146">
        <f>F13</f>
        <v>50</v>
      </c>
      <c r="N9" s="147">
        <f>F19</f>
        <v>883.8669177652231</v>
      </c>
      <c r="O9" s="148">
        <f>M9*N9</f>
        <v>44193.34588826115</v>
      </c>
      <c r="P9" s="143">
        <f>(O8)*(-O9)+(O8-O9)*(-O10-O11)+(-O10)*(-O11)</f>
        <v>-5180891289.536103</v>
      </c>
      <c r="Q9" s="143">
        <f>P9/P8/3</f>
        <v>-214926.03708934903</v>
      </c>
      <c r="R9" s="149" t="s">
        <v>63</v>
      </c>
      <c r="S9" s="135"/>
      <c r="T9" s="3"/>
    </row>
    <row r="10" spans="1:20" ht="13.5" customHeight="1">
      <c r="A10" s="3"/>
      <c r="B10" s="3"/>
      <c r="C10" s="2"/>
      <c r="D10" s="2"/>
      <c r="E10" s="8"/>
      <c r="F10" s="6">
        <f>GPE!F8</f>
        <v>0</v>
      </c>
      <c r="G10" s="6">
        <f>GPE!G8</f>
        <v>0</v>
      </c>
      <c r="H10" s="281">
        <f>GPE!H8</f>
        <v>0</v>
      </c>
      <c r="I10" s="2"/>
      <c r="J10" s="3"/>
      <c r="K10" s="3"/>
      <c r="L10" s="145" t="s">
        <v>64</v>
      </c>
      <c r="M10" s="146">
        <f>G13</f>
        <v>150</v>
      </c>
      <c r="N10" s="147">
        <f>G19</f>
        <v>107.72128060263655</v>
      </c>
      <c r="O10" s="148">
        <f>M10*N10</f>
        <v>16158.192090395483</v>
      </c>
      <c r="P10" s="143">
        <f>(O8-O9)*(-O10)*(-O11)+(-O10-O11)*(O8)*(-O9)</f>
        <v>155519337237525.4</v>
      </c>
      <c r="Q10" s="143">
        <f>P10/P8/3</f>
        <v>6451622505.712962</v>
      </c>
      <c r="R10" s="149" t="s">
        <v>10</v>
      </c>
      <c r="S10" s="135"/>
      <c r="T10" s="3"/>
    </row>
    <row r="11" spans="1:20" ht="13.5" customHeight="1">
      <c r="A11" s="3"/>
      <c r="B11" s="3"/>
      <c r="C11" s="2"/>
      <c r="D11" s="94" t="s">
        <v>11</v>
      </c>
      <c r="E11" s="9" t="s">
        <v>2</v>
      </c>
      <c r="F11" s="9" t="s">
        <v>3</v>
      </c>
      <c r="G11" s="9" t="s">
        <v>4</v>
      </c>
      <c r="H11" s="9" t="s">
        <v>0</v>
      </c>
      <c r="I11" s="2"/>
      <c r="J11" s="3"/>
      <c r="K11" s="3"/>
      <c r="L11" s="145" t="s">
        <v>65</v>
      </c>
      <c r="M11" s="146">
        <f>H13</f>
        <v>1000</v>
      </c>
      <c r="N11" s="147">
        <f>H19</f>
        <v>20</v>
      </c>
      <c r="O11" s="148">
        <f>M11*N11</f>
        <v>20000</v>
      </c>
      <c r="P11" s="143">
        <f>(O8)*(-O9)*(-O10)*(-O11)</f>
        <v>-1.262311459318992E+18</v>
      </c>
      <c r="Q11" s="143">
        <f>P11/P8/2</f>
        <v>-78549302917779.38</v>
      </c>
      <c r="R11" s="149" t="s">
        <v>66</v>
      </c>
      <c r="T11" s="3"/>
    </row>
    <row r="12" spans="1:20" ht="13.5" customHeight="1">
      <c r="A12" s="3"/>
      <c r="B12" s="3"/>
      <c r="C12" s="2"/>
      <c r="D12" s="9" t="s">
        <v>2</v>
      </c>
      <c r="E12" s="53">
        <f>GPE!E10</f>
        <v>104588.82611424987</v>
      </c>
      <c r="F12" s="54">
        <f>GPE!F10</f>
        <v>-100</v>
      </c>
      <c r="G12" s="55">
        <f>GPE!G10</f>
        <v>-750</v>
      </c>
      <c r="H12" s="55">
        <f>GPE!H10</f>
        <v>-8766</v>
      </c>
      <c r="I12" s="2"/>
      <c r="K12" s="3"/>
      <c r="L12" s="150"/>
      <c r="M12" s="135"/>
      <c r="N12" s="134" t="s">
        <v>67</v>
      </c>
      <c r="O12" s="135"/>
      <c r="P12" s="135"/>
      <c r="Q12" s="135"/>
      <c r="R12" s="151"/>
      <c r="T12" s="3"/>
    </row>
    <row r="13" spans="1:20" ht="13.5" customHeight="1">
      <c r="A13" s="3"/>
      <c r="B13" s="3"/>
      <c r="C13" s="2"/>
      <c r="D13" s="9" t="s">
        <v>3</v>
      </c>
      <c r="E13" s="186"/>
      <c r="F13" s="187">
        <f>GPE!F11</f>
        <v>50</v>
      </c>
      <c r="G13" s="188">
        <f>GPE!G11</f>
        <v>150</v>
      </c>
      <c r="H13" s="188">
        <f>GPE!H11</f>
        <v>1000</v>
      </c>
      <c r="I13" s="2"/>
      <c r="K13" s="3"/>
      <c r="L13" s="150"/>
      <c r="M13" s="135"/>
      <c r="N13" s="135"/>
      <c r="O13" s="134" t="s">
        <v>68</v>
      </c>
      <c r="P13" s="136" t="s">
        <v>20</v>
      </c>
      <c r="Q13" s="135"/>
      <c r="R13" s="151"/>
      <c r="S13" s="135"/>
      <c r="T13" s="3"/>
    </row>
    <row r="14" spans="1:20" ht="13.5" customHeight="1">
      <c r="A14" s="3"/>
      <c r="B14" s="3"/>
      <c r="C14" s="2"/>
      <c r="D14" s="9" t="s">
        <v>4</v>
      </c>
      <c r="E14" s="189"/>
      <c r="F14" s="190">
        <f>GPE!F12</f>
        <v>30</v>
      </c>
      <c r="G14" s="95">
        <f>GPE!G12</f>
        <v>250</v>
      </c>
      <c r="H14" s="191">
        <f>GPE!H12</f>
        <v>1000</v>
      </c>
      <c r="I14" s="2"/>
      <c r="K14" s="3"/>
      <c r="L14" s="145" t="s">
        <v>69</v>
      </c>
      <c r="M14" s="152">
        <f>O14/N8</f>
        <v>794.2843664315288</v>
      </c>
      <c r="N14" s="135"/>
      <c r="O14" s="142">
        <f>P$14+O8</f>
        <v>702041.6747869385</v>
      </c>
      <c r="P14" s="153">
        <f>-Q9+Q16+Q17</f>
        <v>613654.9830104162</v>
      </c>
      <c r="Q14" s="143">
        <f>-Q9*Q9+Q10</f>
        <v>-39741578913.21928</v>
      </c>
      <c r="R14" s="154" t="s">
        <v>70</v>
      </c>
      <c r="S14" s="155">
        <f>Q14^3+Q15^2</f>
        <v>6.560854016989328E+28</v>
      </c>
      <c r="T14" s="3"/>
    </row>
    <row r="15" spans="1:20" ht="13.5" customHeight="1" thickBot="1">
      <c r="A15" s="3"/>
      <c r="B15" s="3"/>
      <c r="C15" s="2"/>
      <c r="D15" s="9" t="s">
        <v>0</v>
      </c>
      <c r="E15" s="36"/>
      <c r="F15" s="37">
        <f>GPE!F13</f>
        <v>20</v>
      </c>
      <c r="G15" s="38">
        <f>GPE!G13</f>
        <v>350</v>
      </c>
      <c r="H15" s="39">
        <f>GPE!H13</f>
        <v>6766</v>
      </c>
      <c r="I15" s="2"/>
      <c r="K15" s="3"/>
      <c r="L15" s="145" t="s">
        <v>71</v>
      </c>
      <c r="M15" s="156">
        <f>O15/N9</f>
        <v>644.284366431529</v>
      </c>
      <c r="N15" s="135"/>
      <c r="O15" s="148">
        <f>P$14-O9</f>
        <v>569461.637122155</v>
      </c>
      <c r="P15" s="144"/>
      <c r="Q15" s="143">
        <f>Q9^3-3*Q9*Q10/2+Q11</f>
        <v>-7926738537434964</v>
      </c>
      <c r="R15" s="154" t="s">
        <v>72</v>
      </c>
      <c r="S15" s="155">
        <f>SQRT(ABS(S14))</f>
        <v>256141640835482.44</v>
      </c>
      <c r="T15" s="3"/>
    </row>
    <row r="16" spans="1:20" ht="13.5" customHeight="1">
      <c r="A16" s="3"/>
      <c r="B16" s="3"/>
      <c r="C16" s="2"/>
      <c r="D16" s="2"/>
      <c r="E16" s="2"/>
      <c r="F16" s="2"/>
      <c r="G16" s="2"/>
      <c r="H16" s="2"/>
      <c r="I16" s="2"/>
      <c r="J16" s="3"/>
      <c r="K16" s="3"/>
      <c r="L16" s="145" t="s">
        <v>73</v>
      </c>
      <c r="M16" s="156">
        <f>O16/N10</f>
        <v>5546.692237386904</v>
      </c>
      <c r="N16" s="135"/>
      <c r="O16" s="148">
        <f>P$14-O10</f>
        <v>597496.7909200207</v>
      </c>
      <c r="P16" s="144"/>
      <c r="Q16" s="143">
        <f>IF(S16&gt;0,S16^(1/3),-((-S16)^(1/3)))</f>
        <v>201512.53385631775</v>
      </c>
      <c r="R16" s="149" t="s">
        <v>74</v>
      </c>
      <c r="S16" s="143">
        <f>(-Q15+S15)</f>
        <v>8182880178270446</v>
      </c>
      <c r="T16" s="3"/>
    </row>
    <row r="17" spans="1:20" ht="13.5" customHeight="1">
      <c r="A17" s="3"/>
      <c r="B17" s="3"/>
      <c r="C17" s="2"/>
      <c r="D17" s="2"/>
      <c r="E17" s="2"/>
      <c r="F17" s="2"/>
      <c r="G17" s="2"/>
      <c r="H17" s="2"/>
      <c r="I17" s="2"/>
      <c r="J17" s="3"/>
      <c r="K17" s="3"/>
      <c r="L17" s="145" t="s">
        <v>75</v>
      </c>
      <c r="M17" s="156">
        <f>O17/N11</f>
        <v>29682.74915052081</v>
      </c>
      <c r="N17" s="135"/>
      <c r="O17" s="148">
        <f>P$14-O11</f>
        <v>593654.9830104162</v>
      </c>
      <c r="P17" s="135"/>
      <c r="Q17" s="143">
        <f>IF(S17&gt;0,S17^(1/3),-((-S17)^(1/3)))</f>
        <v>197216.41206474937</v>
      </c>
      <c r="R17" s="149" t="s">
        <v>76</v>
      </c>
      <c r="S17" s="143">
        <f>(-Q15-S15)</f>
        <v>7670596896599482</v>
      </c>
      <c r="T17" s="3"/>
    </row>
    <row r="18" spans="1:20" ht="13.5" customHeight="1">
      <c r="A18" s="3"/>
      <c r="B18" s="3"/>
      <c r="C18" s="2"/>
      <c r="D18" s="2"/>
      <c r="E18" s="9" t="s">
        <v>2</v>
      </c>
      <c r="F18" s="9" t="s">
        <v>3</v>
      </c>
      <c r="G18" s="9" t="s">
        <v>4</v>
      </c>
      <c r="H18" s="9" t="s">
        <v>0</v>
      </c>
      <c r="I18" s="2"/>
      <c r="J18" s="3"/>
      <c r="K18" s="3"/>
      <c r="L18" s="3"/>
      <c r="M18" s="3"/>
      <c r="N18" s="3"/>
      <c r="O18" s="3"/>
      <c r="P18" s="3"/>
      <c r="Q18" s="3"/>
      <c r="R18" s="3"/>
      <c r="S18" s="3"/>
      <c r="T18" s="3"/>
    </row>
    <row r="19" spans="1:19" ht="13.5" customHeight="1">
      <c r="A19" s="3"/>
      <c r="B19" s="3"/>
      <c r="C19" s="2"/>
      <c r="D19" s="94" t="s">
        <v>81</v>
      </c>
      <c r="E19" s="192">
        <f>GPE!E18</f>
        <v>2</v>
      </c>
      <c r="F19" s="178">
        <f>GPE!F18</f>
        <v>883.8669177652231</v>
      </c>
      <c r="G19" s="179">
        <f>GPE!G18</f>
        <v>107.72128060263655</v>
      </c>
      <c r="H19" s="313">
        <f>GPE!H18</f>
        <v>20</v>
      </c>
      <c r="I19" s="2"/>
      <c r="J19" s="3"/>
      <c r="K19" s="3"/>
      <c r="L19" s="3"/>
      <c r="M19" s="3"/>
      <c r="N19" s="3"/>
      <c r="O19" s="3"/>
      <c r="P19" s="3"/>
      <c r="Q19" s="3"/>
      <c r="R19" s="3"/>
      <c r="S19" s="3"/>
    </row>
    <row r="20" spans="1:20" ht="13.5" customHeight="1">
      <c r="A20" s="3"/>
      <c r="B20" s="3"/>
      <c r="C20" s="2"/>
      <c r="D20" s="2"/>
      <c r="E20" s="2"/>
      <c r="F20" s="2"/>
      <c r="G20" s="2"/>
      <c r="H20" s="2"/>
      <c r="I20" s="2"/>
      <c r="J20" s="3"/>
      <c r="K20" s="3"/>
      <c r="L20" s="3"/>
      <c r="M20" s="3"/>
      <c r="N20" s="3"/>
      <c r="O20" s="3"/>
      <c r="P20" s="3"/>
      <c r="Q20" s="3"/>
      <c r="R20" s="3"/>
      <c r="S20" s="3"/>
      <c r="T20" s="3"/>
    </row>
    <row r="21" spans="1:20" ht="13.5" customHeight="1">
      <c r="A21" s="3"/>
      <c r="B21" s="3"/>
      <c r="C21" s="2"/>
      <c r="D21" s="2"/>
      <c r="E21" s="2"/>
      <c r="F21" s="2"/>
      <c r="G21" s="2"/>
      <c r="H21" s="2"/>
      <c r="I21" s="2"/>
      <c r="J21" s="3"/>
      <c r="K21" s="3"/>
      <c r="L21" s="3"/>
      <c r="M21" s="3"/>
      <c r="N21" s="3"/>
      <c r="O21" s="3"/>
      <c r="P21" s="3"/>
      <c r="Q21" s="3"/>
      <c r="R21" s="3"/>
      <c r="S21" s="3"/>
      <c r="T21" s="3"/>
    </row>
    <row r="22" spans="1:20" ht="13.5" customHeight="1">
      <c r="A22" s="3"/>
      <c r="B22" s="3"/>
      <c r="C22" s="2"/>
      <c r="D22" s="2"/>
      <c r="E22" s="2"/>
      <c r="F22" s="2"/>
      <c r="G22" s="2"/>
      <c r="H22" s="2"/>
      <c r="I22" s="2"/>
      <c r="J22" s="3"/>
      <c r="L22" s="134" t="s">
        <v>77</v>
      </c>
      <c r="M22" s="3"/>
      <c r="N22" s="3"/>
      <c r="O22" s="3"/>
      <c r="P22" s="3"/>
      <c r="Q22" s="3"/>
      <c r="R22" s="3"/>
      <c r="S22" s="3"/>
      <c r="T22" s="3"/>
    </row>
    <row r="23" spans="1:20" ht="13.5" customHeight="1">
      <c r="A23" s="3"/>
      <c r="B23" s="3"/>
      <c r="C23" s="2"/>
      <c r="D23" s="2"/>
      <c r="E23" s="2"/>
      <c r="F23" s="2"/>
      <c r="G23" s="2"/>
      <c r="H23" s="2"/>
      <c r="I23" s="2"/>
      <c r="J23" s="3"/>
      <c r="L23" s="135"/>
      <c r="M23" s="135"/>
      <c r="N23" s="136" t="s">
        <v>59</v>
      </c>
      <c r="O23" s="134" t="s">
        <v>60</v>
      </c>
      <c r="P23" s="135"/>
      <c r="Q23" s="135"/>
      <c r="R23" s="135"/>
      <c r="S23" s="135"/>
      <c r="T23" s="3"/>
    </row>
    <row r="24" spans="1:19" ht="13.5" customHeight="1">
      <c r="A24" s="3"/>
      <c r="B24" s="3"/>
      <c r="C24" s="2"/>
      <c r="D24" s="2"/>
      <c r="E24" s="2"/>
      <c r="F24" s="2"/>
      <c r="G24" s="2"/>
      <c r="H24" s="2"/>
      <c r="I24" s="2"/>
      <c r="L24" s="139" t="s">
        <v>61</v>
      </c>
      <c r="M24" s="140">
        <f>-G12</f>
        <v>750</v>
      </c>
      <c r="N24" s="141">
        <f>G19</f>
        <v>107.72128060263655</v>
      </c>
      <c r="O24" s="142">
        <f>M24*N24</f>
        <v>80790.96045197741</v>
      </c>
      <c r="P24" s="143">
        <f>O24-O25-O26-O27</f>
        <v>7344.6327683615855</v>
      </c>
      <c r="Q24" s="144"/>
      <c r="R24" s="135"/>
      <c r="S24" s="135"/>
    </row>
    <row r="25" spans="1:19" ht="13.5" customHeight="1">
      <c r="A25" s="3"/>
      <c r="B25" s="3"/>
      <c r="C25" s="2"/>
      <c r="D25" s="2"/>
      <c r="E25" s="2"/>
      <c r="F25" s="2"/>
      <c r="G25" s="2"/>
      <c r="H25" s="2"/>
      <c r="I25" s="2"/>
      <c r="J25" s="3"/>
      <c r="L25" s="145" t="s">
        <v>62</v>
      </c>
      <c r="M25" s="146">
        <f>F14</f>
        <v>30</v>
      </c>
      <c r="N25" s="147">
        <f>F19</f>
        <v>883.8669177652231</v>
      </c>
      <c r="O25" s="148">
        <f>M25*N25</f>
        <v>26516.007532956693</v>
      </c>
      <c r="P25" s="143">
        <f>(O24)*(-O25)+(O24-O25)*(-O26-O27)+(-O26)*(-O27)</f>
        <v>-4150788229.5778513</v>
      </c>
      <c r="Q25" s="143">
        <f>P25/P24/3</f>
        <v>-188381.92734237932</v>
      </c>
      <c r="R25" s="149" t="s">
        <v>63</v>
      </c>
      <c r="S25" s="135"/>
    </row>
    <row r="26" spans="1:19" ht="13.5" customHeight="1">
      <c r="A26" s="3"/>
      <c r="B26" s="3"/>
      <c r="C26" s="2"/>
      <c r="D26" s="2"/>
      <c r="E26" s="2"/>
      <c r="F26" s="2"/>
      <c r="G26" s="2"/>
      <c r="H26" s="2"/>
      <c r="I26" s="2"/>
      <c r="L26" s="145" t="s">
        <v>64</v>
      </c>
      <c r="M26" s="146">
        <f>G14</f>
        <v>250</v>
      </c>
      <c r="N26" s="147">
        <f>G19</f>
        <v>107.72128060263655</v>
      </c>
      <c r="O26" s="148">
        <f>M26*N26</f>
        <v>26930.32015065914</v>
      </c>
      <c r="P26" s="143">
        <f>(O24-O25)*(-O26)*(-O27)+(-O26-O27)*(O24)*(-O25)</f>
        <v>129769489898400.7</v>
      </c>
      <c r="Q26" s="143">
        <f>P26/P24/3</f>
        <v>5889538387.696644</v>
      </c>
      <c r="R26" s="149" t="s">
        <v>10</v>
      </c>
      <c r="S26" s="135"/>
    </row>
    <row r="27" spans="1:18" ht="13.5" customHeight="1">
      <c r="A27" s="3"/>
      <c r="B27" s="3"/>
      <c r="C27" s="42" t="s">
        <v>20</v>
      </c>
      <c r="D27" s="94" t="s">
        <v>97</v>
      </c>
      <c r="E27" s="9" t="s">
        <v>2</v>
      </c>
      <c r="F27" s="9" t="s">
        <v>3</v>
      </c>
      <c r="G27" s="9" t="s">
        <v>4</v>
      </c>
      <c r="H27" s="9" t="s">
        <v>0</v>
      </c>
      <c r="I27" s="2"/>
      <c r="L27" s="145" t="s">
        <v>65</v>
      </c>
      <c r="M27" s="146">
        <f>H14</f>
        <v>1000</v>
      </c>
      <c r="N27" s="147">
        <f>H19</f>
        <v>20</v>
      </c>
      <c r="O27" s="148">
        <f>M27*N27</f>
        <v>20000</v>
      </c>
      <c r="P27" s="143">
        <f>(O24)*(-O25)*(-O26)*(-O27)</f>
        <v>-1.1538315682837663E+18</v>
      </c>
      <c r="Q27" s="143">
        <f>P27/P24/2</f>
        <v>-78549302917779.44</v>
      </c>
      <c r="R27" s="149" t="s">
        <v>66</v>
      </c>
    </row>
    <row r="28" spans="1:18" ht="13.5" customHeight="1">
      <c r="A28" s="3"/>
      <c r="B28" s="3"/>
      <c r="C28" s="53">
        <v>0</v>
      </c>
      <c r="D28" s="9" t="s">
        <v>2</v>
      </c>
      <c r="E28" s="53">
        <f>-E12+((O8-O14)+(O24-O30)-(O41-O45))/E19</f>
        <v>-643139.16478631</v>
      </c>
      <c r="F28" s="193">
        <f>M14</f>
        <v>794.2843664315288</v>
      </c>
      <c r="G28" s="194">
        <f>M30</f>
        <v>5693.503722212354</v>
      </c>
      <c r="H28" s="195">
        <f>-H12</f>
        <v>8766</v>
      </c>
      <c r="I28" s="2"/>
      <c r="L28" s="150"/>
      <c r="M28" s="135"/>
      <c r="N28" s="134" t="s">
        <v>67</v>
      </c>
      <c r="O28" s="135"/>
      <c r="P28" s="135"/>
      <c r="Q28" s="135"/>
      <c r="R28" s="151"/>
    </row>
    <row r="29" spans="1:19" ht="13.5" customHeight="1">
      <c r="A29" s="3"/>
      <c r="B29" s="3"/>
      <c r="C29" s="196">
        <f>P14</f>
        <v>613654.9830104162</v>
      </c>
      <c r="D29" s="9" t="s">
        <v>3</v>
      </c>
      <c r="E29" s="186"/>
      <c r="F29" s="197">
        <f>M15</f>
        <v>644.284366431529</v>
      </c>
      <c r="G29" s="198">
        <f>M16</f>
        <v>5546.692237386904</v>
      </c>
      <c r="H29" s="198">
        <f>M17</f>
        <v>29682.74915052081</v>
      </c>
      <c r="I29" s="2"/>
      <c r="L29" s="150"/>
      <c r="M29" s="135"/>
      <c r="N29" s="135"/>
      <c r="O29" s="134" t="s">
        <v>68</v>
      </c>
      <c r="P29" s="136" t="s">
        <v>20</v>
      </c>
      <c r="Q29" s="135"/>
      <c r="R29" s="151"/>
      <c r="S29" s="135"/>
    </row>
    <row r="30" spans="1:19" ht="13.5" customHeight="1">
      <c r="A30" s="3"/>
      <c r="B30" s="3"/>
      <c r="C30" s="196">
        <f>P30</f>
        <v>532520.5516206152</v>
      </c>
      <c r="D30" s="9" t="s">
        <v>4</v>
      </c>
      <c r="E30" s="189"/>
      <c r="F30" s="199">
        <f>M31</f>
        <v>572.4895161446304</v>
      </c>
      <c r="G30" s="200">
        <f>M32</f>
        <v>4693.503722212354</v>
      </c>
      <c r="H30" s="201">
        <f>M33</f>
        <v>25626.027581030758</v>
      </c>
      <c r="I30" s="2"/>
      <c r="L30" s="145" t="s">
        <v>69</v>
      </c>
      <c r="M30" s="152">
        <f>O30/N24</f>
        <v>5693.503722212354</v>
      </c>
      <c r="N30" s="135"/>
      <c r="O30" s="142">
        <f>$P$30+O24</f>
        <v>613311.5120725926</v>
      </c>
      <c r="P30" s="153">
        <f>-Q25+Q32+Q33</f>
        <v>532520.5516206152</v>
      </c>
      <c r="Q30" s="143">
        <f>-Q25*Q25+Q26</f>
        <v>-29598212161.53284</v>
      </c>
      <c r="R30" s="154" t="s">
        <v>70</v>
      </c>
      <c r="S30" s="155">
        <f>Q30^3+Q31^2</f>
        <v>7.6041040078391895E+28</v>
      </c>
    </row>
    <row r="31" spans="1:19" ht="13.5" customHeight="1" thickBot="1">
      <c r="A31" s="3"/>
      <c r="B31" s="3"/>
      <c r="C31" s="182">
        <f>P45</f>
        <v>69074.85728691093</v>
      </c>
      <c r="D31" s="9" t="s">
        <v>0</v>
      </c>
      <c r="E31" s="36"/>
      <c r="F31" s="31">
        <f>M46</f>
        <v>58.150744075318954</v>
      </c>
      <c r="G31" s="32">
        <f>M47</f>
        <v>291.23687446415556</v>
      </c>
      <c r="H31" s="327">
        <f>M45</f>
        <v>-10219.742864345546</v>
      </c>
      <c r="I31" s="2"/>
      <c r="L31" s="145" t="s">
        <v>71</v>
      </c>
      <c r="M31" s="156">
        <f>O31/N25</f>
        <v>572.4895161446304</v>
      </c>
      <c r="N31" s="135"/>
      <c r="O31" s="148">
        <f>$P$30-O25</f>
        <v>506004.54408765846</v>
      </c>
      <c r="P31" s="144"/>
      <c r="Q31" s="143">
        <f>Q25^3-3*Q25*Q26/2+Q27</f>
        <v>-5099576259480375</v>
      </c>
      <c r="R31" s="154" t="s">
        <v>72</v>
      </c>
      <c r="S31" s="155">
        <f>SQRT(ABS(S30))</f>
        <v>275755399001346.66</v>
      </c>
    </row>
    <row r="32" spans="1:19" ht="13.5" customHeight="1">
      <c r="A32" s="3"/>
      <c r="B32" s="3"/>
      <c r="C32" s="2"/>
      <c r="D32" s="2"/>
      <c r="E32" s="2"/>
      <c r="F32" s="2"/>
      <c r="G32" s="2"/>
      <c r="H32" s="2"/>
      <c r="I32" s="2"/>
      <c r="L32" s="145" t="s">
        <v>73</v>
      </c>
      <c r="M32" s="156">
        <f>O32/N26</f>
        <v>4693.503722212354</v>
      </c>
      <c r="N32" s="135"/>
      <c r="O32" s="148">
        <f>$P$30-O26</f>
        <v>505590.23146995605</v>
      </c>
      <c r="P32" s="144"/>
      <c r="Q32" s="143">
        <f>IF(S32&gt;0,S32^(1/3),-((-S32)^(1/3)))</f>
        <v>175173.50583416963</v>
      </c>
      <c r="R32" s="149" t="s">
        <v>74</v>
      </c>
      <c r="S32" s="143">
        <f>(-Q31+S31)</f>
        <v>5375331658481722</v>
      </c>
    </row>
    <row r="33" spans="1:19" ht="13.5" customHeight="1">
      <c r="A33" s="3"/>
      <c r="B33" s="3"/>
      <c r="C33" s="2"/>
      <c r="D33" s="2"/>
      <c r="E33" s="2"/>
      <c r="F33" s="2"/>
      <c r="G33" s="2"/>
      <c r="H33" s="2"/>
      <c r="I33" s="2"/>
      <c r="L33" s="145" t="s">
        <v>75</v>
      </c>
      <c r="M33" s="156">
        <f>O33/N27</f>
        <v>25626.027581030758</v>
      </c>
      <c r="N33" s="135"/>
      <c r="O33" s="148">
        <f>$P$30-O27</f>
        <v>512520.5516206152</v>
      </c>
      <c r="P33" s="135"/>
      <c r="Q33" s="143">
        <f>IF(S33&gt;0,S33^(1/3),-((-S33)^(1/3)))</f>
        <v>168965.1184440663</v>
      </c>
      <c r="R33" s="149" t="s">
        <v>76</v>
      </c>
      <c r="S33" s="143">
        <f>(-Q31-S31)</f>
        <v>4823820860479028</v>
      </c>
    </row>
    <row r="34" spans="1:13" ht="13.5" customHeight="1">
      <c r="A34" s="3"/>
      <c r="B34" s="3"/>
      <c r="C34" s="2"/>
      <c r="D34" s="2"/>
      <c r="E34" s="2"/>
      <c r="F34" s="2"/>
      <c r="G34" s="2"/>
      <c r="H34" s="2"/>
      <c r="I34" s="2"/>
      <c r="L34" s="3"/>
      <c r="M34" s="3"/>
    </row>
    <row r="35" spans="1:13" ht="13.5" customHeight="1">
      <c r="A35" s="3"/>
      <c r="L35" s="3"/>
      <c r="M35" s="3"/>
    </row>
    <row r="36" spans="1:12" ht="13.5" customHeight="1">
      <c r="A36" s="3"/>
      <c r="L36" s="3"/>
    </row>
    <row r="37" ht="13.5" customHeight="1">
      <c r="A37" s="3"/>
    </row>
    <row r="38" spans="1:12" ht="13.5" customHeight="1">
      <c r="A38" s="3"/>
      <c r="L38" s="134" t="s">
        <v>79</v>
      </c>
    </row>
    <row r="39" ht="13.5" customHeight="1">
      <c r="A39" s="3"/>
    </row>
    <row r="40" spans="1:15" ht="13.5" customHeight="1">
      <c r="A40" s="3"/>
      <c r="L40" s="157"/>
      <c r="M40" s="11" t="s">
        <v>18</v>
      </c>
      <c r="N40" s="136" t="s">
        <v>59</v>
      </c>
      <c r="O40" s="158" t="s">
        <v>60</v>
      </c>
    </row>
    <row r="41" spans="1:18" ht="13.5" customHeight="1">
      <c r="A41" s="3"/>
      <c r="L41" s="139" t="s">
        <v>61</v>
      </c>
      <c r="M41" s="159">
        <f>-H15</f>
        <v>-6766</v>
      </c>
      <c r="N41" s="160">
        <f>-H19</f>
        <v>-20</v>
      </c>
      <c r="O41" s="142">
        <f>M41*N41</f>
        <v>135320</v>
      </c>
      <c r="Q41" s="161">
        <f>O41-O42-O43</f>
        <v>79940.21343377273</v>
      </c>
      <c r="R41" s="162" t="s">
        <v>63</v>
      </c>
    </row>
    <row r="42" spans="1:18" ht="13.5" customHeight="1">
      <c r="A42" s="3"/>
      <c r="L42" s="145" t="s">
        <v>62</v>
      </c>
      <c r="M42" s="146">
        <f>F15</f>
        <v>20</v>
      </c>
      <c r="N42" s="147">
        <f>F19</f>
        <v>883.8669177652231</v>
      </c>
      <c r="O42" s="148">
        <f>M42*N42</f>
        <v>17677.338355304462</v>
      </c>
      <c r="Q42" s="161">
        <f>-O41*O42-O41*O43+O42*O43</f>
        <v>-6827513784.294046</v>
      </c>
      <c r="R42" s="162" t="s">
        <v>10</v>
      </c>
    </row>
    <row r="43" spans="1:18" ht="13.5" customHeight="1">
      <c r="A43" s="3"/>
      <c r="L43" s="145" t="s">
        <v>64</v>
      </c>
      <c r="M43" s="146">
        <f>G15</f>
        <v>350</v>
      </c>
      <c r="N43" s="147">
        <f>G19</f>
        <v>107.72128060263655</v>
      </c>
      <c r="O43" s="148">
        <f>M43*N43</f>
        <v>37702.4482109228</v>
      </c>
      <c r="Q43" s="163">
        <f>O41*O42*O43</f>
        <v>90187929328287.78</v>
      </c>
      <c r="R43" s="162" t="s">
        <v>66</v>
      </c>
    </row>
    <row r="44" spans="1:16" ht="13.5" customHeight="1">
      <c r="A44" s="3"/>
      <c r="L44" s="164"/>
      <c r="M44" s="135"/>
      <c r="N44" s="165" t="s">
        <v>67</v>
      </c>
      <c r="O44" s="158" t="s">
        <v>68</v>
      </c>
      <c r="P44" s="136" t="s">
        <v>20</v>
      </c>
    </row>
    <row r="45" spans="1:16" ht="13.5" customHeight="1">
      <c r="A45" s="3"/>
      <c r="L45" s="145" t="s">
        <v>69</v>
      </c>
      <c r="M45" s="152">
        <f>O45/N41</f>
        <v>-10219.742864345546</v>
      </c>
      <c r="N45" s="135"/>
      <c r="O45" s="142">
        <f>P$45+O41</f>
        <v>204394.85728691093</v>
      </c>
      <c r="P45" s="166">
        <f>(-Q42+SQRT(Q42^2-4*Q41*Q43))/(2*Q41)</f>
        <v>69074.85728691093</v>
      </c>
    </row>
    <row r="46" spans="1:15" ht="13.5" customHeight="1">
      <c r="A46" s="3"/>
      <c r="L46" s="145" t="s">
        <v>71</v>
      </c>
      <c r="M46" s="156">
        <f>O46/N42</f>
        <v>58.150744075318954</v>
      </c>
      <c r="N46" s="135"/>
      <c r="O46" s="167">
        <f>P$45-O42</f>
        <v>51397.51893160647</v>
      </c>
    </row>
    <row r="47" spans="1:15" ht="13.5" customHeight="1">
      <c r="A47" s="3"/>
      <c r="L47" s="145" t="s">
        <v>73</v>
      </c>
      <c r="M47" s="156">
        <f>O47/N43</f>
        <v>291.23687446415556</v>
      </c>
      <c r="N47" s="135"/>
      <c r="O47" s="167">
        <f>P$45-O43</f>
        <v>31372.409075988136</v>
      </c>
    </row>
    <row r="48" ht="13.5" customHeight="1">
      <c r="A48" s="3"/>
    </row>
    <row r="49" ht="13.5" customHeight="1">
      <c r="A49" s="3"/>
    </row>
    <row r="50" ht="13.5" customHeight="1">
      <c r="A50" s="3"/>
    </row>
    <row r="51" ht="13.5" customHeight="1">
      <c r="A51" s="3"/>
    </row>
    <row r="52" ht="13.5" customHeight="1">
      <c r="A52" s="3"/>
    </row>
    <row r="53" spans="1:3" ht="13.5" customHeight="1">
      <c r="A53" s="3"/>
      <c r="B53" s="168"/>
      <c r="C53" s="168"/>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4"/>
  <drawing r:id="rId3"/>
  <legacyDrawing r:id="rId2"/>
  <oleObjects>
    <oleObject progId="Adobe Photoshop Image" shapeId="60507512" r:id="rId1"/>
  </oleObjects>
</worksheet>
</file>

<file path=xl/worksheets/sheet7.xml><?xml version="1.0" encoding="utf-8"?>
<worksheet xmlns="http://schemas.openxmlformats.org/spreadsheetml/2006/main" xmlns:r="http://schemas.openxmlformats.org/officeDocument/2006/relationships">
  <sheetPr codeName="Sheet3"/>
  <dimension ref="A4:V52"/>
  <sheetViews>
    <sheetView showGridLines="0" zoomScalePageLayoutView="0" workbookViewId="0" topLeftCell="A1">
      <selection activeCell="A1" sqref="A1"/>
    </sheetView>
  </sheetViews>
  <sheetFormatPr defaultColWidth="9.00390625" defaultRowHeight="13.5"/>
  <cols>
    <col min="1" max="1" width="10.375" style="0" customWidth="1"/>
    <col min="2" max="3" width="8.625" style="0" customWidth="1"/>
    <col min="4" max="4" width="3.125" style="0" customWidth="1"/>
    <col min="5" max="5" width="8.625" style="0" customWidth="1"/>
    <col min="6" max="6" width="3.125" style="0" customWidth="1"/>
    <col min="7" max="7" width="8.625" style="0" customWidth="1"/>
    <col min="8" max="8" width="3.125" style="0" customWidth="1"/>
    <col min="9" max="10" width="8.625" style="0" customWidth="1"/>
    <col min="12" max="12" width="8.625" style="0" customWidth="1"/>
    <col min="13" max="13" width="3.125" style="0" customWidth="1"/>
    <col min="14" max="14" width="8.625" style="0" customWidth="1"/>
    <col min="15" max="15" width="3.125" style="0" customWidth="1"/>
    <col min="16" max="16" width="8.625" style="0" customWidth="1"/>
    <col min="17" max="17" width="3.125" style="0" customWidth="1"/>
    <col min="18" max="22" width="8.625" style="0" customWidth="1"/>
    <col min="23" max="24" width="9.125" style="0" customWidth="1"/>
  </cols>
  <sheetData>
    <row r="4" spans="8:9" ht="13.5" customHeight="1">
      <c r="H4" s="120" t="s">
        <v>80</v>
      </c>
      <c r="I4" s="120"/>
    </row>
    <row r="5" ht="13.5" customHeight="1"/>
    <row r="6" ht="13.5" customHeight="1"/>
    <row r="7" ht="13.5" customHeight="1"/>
    <row r="8" spans="4:10" ht="13.5" customHeight="1">
      <c r="D8" s="2"/>
      <c r="E8" s="338" t="s">
        <v>143</v>
      </c>
      <c r="F8" s="2"/>
      <c r="G8" s="2"/>
      <c r="I8" s="2"/>
      <c r="J8" s="2"/>
    </row>
    <row r="9" spans="4:15" ht="13.5" customHeight="1" thickBot="1">
      <c r="D9" s="2"/>
      <c r="E9" s="29">
        <f>(1-E13)^-G9</f>
        <v>0.5131581182307065</v>
      </c>
      <c r="G9" s="221">
        <v>7</v>
      </c>
      <c r="I9" s="357" t="s">
        <v>154</v>
      </c>
      <c r="M9" s="158"/>
      <c r="N9" s="121"/>
      <c r="O9" s="121"/>
    </row>
    <row r="10" spans="6:15" ht="13.5" customHeight="1">
      <c r="F10" s="2"/>
      <c r="M10" s="324"/>
      <c r="N10" s="121"/>
      <c r="O10" s="121"/>
    </row>
    <row r="11" spans="14:22" ht="13.5" customHeight="1">
      <c r="N11" s="121"/>
      <c r="O11" s="121"/>
      <c r="V11" s="2"/>
    </row>
    <row r="12" spans="4:9" ht="13.5" customHeight="1">
      <c r="D12" s="2"/>
      <c r="E12" s="42" t="s">
        <v>106</v>
      </c>
      <c r="F12" s="2"/>
      <c r="G12" s="352" t="s">
        <v>150</v>
      </c>
      <c r="I12" s="352"/>
    </row>
    <row r="13" spans="5:15" ht="13.5" customHeight="1" thickBot="1">
      <c r="E13" s="29">
        <f>GPE!L15</f>
        <v>-0.1</v>
      </c>
      <c r="G13" s="29">
        <f>(1-1/E9)/G9</f>
        <v>-0.13553101428571446</v>
      </c>
      <c r="H13" s="94" t="s">
        <v>85</v>
      </c>
      <c r="I13" s="445">
        <v>1</v>
      </c>
      <c r="J13" s="222">
        <v>0.1</v>
      </c>
      <c r="K13" s="223">
        <f>1/3</f>
        <v>0.3333333333333333</v>
      </c>
      <c r="L13" s="316">
        <f>1</f>
        <v>1</v>
      </c>
      <c r="O13" s="176"/>
    </row>
    <row r="14" spans="7:12" ht="13.5" customHeight="1">
      <c r="G14" s="9" t="s">
        <v>2</v>
      </c>
      <c r="I14" s="9"/>
      <c r="J14" s="9" t="s">
        <v>3</v>
      </c>
      <c r="K14" s="9" t="s">
        <v>4</v>
      </c>
      <c r="L14" s="9" t="s">
        <v>0</v>
      </c>
    </row>
    <row r="15" ht="13.5" customHeight="1"/>
    <row r="16" spans="2:21" ht="13.5" customHeight="1">
      <c r="B16" s="3"/>
      <c r="E16" s="3"/>
      <c r="F16" s="3"/>
      <c r="G16" s="3"/>
      <c r="I16" s="3"/>
      <c r="J16" s="3"/>
      <c r="K16" s="3"/>
      <c r="L16" s="3"/>
      <c r="M16" s="3"/>
      <c r="R16" s="2"/>
      <c r="S16" s="2"/>
      <c r="T16" s="2"/>
      <c r="U16" s="2"/>
    </row>
    <row r="17" spans="2:13" ht="13.5" customHeight="1">
      <c r="B17" s="3"/>
      <c r="M17" s="3"/>
    </row>
    <row r="18" spans="2:13" ht="13.5" customHeight="1">
      <c r="B18" s="3"/>
      <c r="M18" s="3"/>
    </row>
    <row r="19" spans="2:13" ht="13.5" customHeight="1">
      <c r="B19" s="3"/>
      <c r="M19" s="3"/>
    </row>
    <row r="20" spans="2:13" ht="13.5" customHeight="1" thickBot="1">
      <c r="B20" s="3"/>
      <c r="F20" s="3"/>
      <c r="I20" s="122">
        <f>GPE!E8</f>
        <v>0</v>
      </c>
      <c r="J20" s="45">
        <f>GPE!F8</f>
        <v>0</v>
      </c>
      <c r="K20" s="45">
        <f>GPE!G8</f>
        <v>0</v>
      </c>
      <c r="L20" s="315">
        <f>GPE!H8</f>
        <v>0</v>
      </c>
      <c r="M20" s="3"/>
    </row>
    <row r="21" spans="2:13" ht="13.5" customHeight="1">
      <c r="B21" s="3"/>
      <c r="E21" s="13" t="s">
        <v>216</v>
      </c>
      <c r="G21" s="13" t="s">
        <v>217</v>
      </c>
      <c r="H21" s="94" t="s">
        <v>90</v>
      </c>
      <c r="I21" s="12" t="s">
        <v>2</v>
      </c>
      <c r="J21" s="12" t="s">
        <v>3</v>
      </c>
      <c r="K21" s="12" t="s">
        <v>4</v>
      </c>
      <c r="L21" s="12" t="s">
        <v>0</v>
      </c>
      <c r="M21" s="3"/>
    </row>
    <row r="22" spans="2:13" ht="13.5" customHeight="1">
      <c r="B22" s="3"/>
      <c r="D22" s="339" t="s">
        <v>2</v>
      </c>
      <c r="E22" s="15"/>
      <c r="G22" s="15"/>
      <c r="H22" s="12" t="s">
        <v>2</v>
      </c>
      <c r="I22" s="17">
        <f>GPE!E10</f>
        <v>104588.82611424987</v>
      </c>
      <c r="J22" s="18">
        <f>GPE!F10</f>
        <v>-100</v>
      </c>
      <c r="K22" s="16">
        <f>GPE!G10</f>
        <v>-750</v>
      </c>
      <c r="L22" s="16">
        <f>GPE!H10</f>
        <v>-8766</v>
      </c>
      <c r="M22" s="12" t="s">
        <v>2</v>
      </c>
    </row>
    <row r="23" spans="2:13" ht="13.5" customHeight="1">
      <c r="B23" s="3"/>
      <c r="D23" s="339" t="s">
        <v>3</v>
      </c>
      <c r="E23" s="19">
        <f>GPE!C11</f>
        <v>-8035.153797865685</v>
      </c>
      <c r="G23" s="19"/>
      <c r="H23" s="12" t="s">
        <v>3</v>
      </c>
      <c r="I23" s="20">
        <f>GPE!E11</f>
        <v>-40175.76898932832</v>
      </c>
      <c r="J23" s="21">
        <f>GPE!F11</f>
        <v>50</v>
      </c>
      <c r="K23" s="22">
        <f>GPE!G11</f>
        <v>150</v>
      </c>
      <c r="L23" s="22">
        <f>GPE!H11</f>
        <v>1000</v>
      </c>
      <c r="M23" s="12" t="s">
        <v>3</v>
      </c>
    </row>
    <row r="24" spans="2:13" ht="13.5" customHeight="1">
      <c r="B24" s="3"/>
      <c r="D24" s="339" t="s">
        <v>4</v>
      </c>
      <c r="E24" s="19">
        <f>GPE!C12</f>
        <v>-7344.632768361582</v>
      </c>
      <c r="G24" s="19"/>
      <c r="H24" s="12" t="s">
        <v>4</v>
      </c>
      <c r="I24" s="24">
        <f>GPE!E12</f>
        <v>-36723.16384180792</v>
      </c>
      <c r="J24" s="25">
        <f>GPE!F12</f>
        <v>30</v>
      </c>
      <c r="K24" s="26">
        <f>GPE!G12</f>
        <v>250</v>
      </c>
      <c r="L24" s="23">
        <f>GPE!H12</f>
        <v>1000</v>
      </c>
      <c r="M24" s="12" t="s">
        <v>4</v>
      </c>
    </row>
    <row r="25" spans="2:13" ht="13.5" customHeight="1" thickBot="1">
      <c r="B25" s="3"/>
      <c r="D25" s="339" t="s">
        <v>0</v>
      </c>
      <c r="E25" s="61"/>
      <c r="G25" s="61">
        <f>GPE!C13</f>
        <v>15379.78656622726</v>
      </c>
      <c r="H25" s="12" t="s">
        <v>0</v>
      </c>
      <c r="I25" s="129">
        <f>GPE!E13</f>
        <v>-27689.89328311363</v>
      </c>
      <c r="J25" s="58">
        <f>GPE!F13</f>
        <v>20</v>
      </c>
      <c r="K25" s="59">
        <f>GPE!G13</f>
        <v>350</v>
      </c>
      <c r="L25" s="60">
        <f>GPE!H13</f>
        <v>6766</v>
      </c>
      <c r="M25" s="12" t="s">
        <v>0</v>
      </c>
    </row>
    <row r="26" spans="2:12" ht="13.5" customHeight="1">
      <c r="B26" s="3"/>
      <c r="E26" s="3"/>
      <c r="G26" s="3"/>
      <c r="H26" s="3"/>
      <c r="I26" s="3"/>
      <c r="J26" s="3"/>
      <c r="K26" s="3"/>
      <c r="L26" s="3"/>
    </row>
    <row r="27" ht="13.5" customHeight="1">
      <c r="B27" s="3"/>
    </row>
    <row r="28" spans="5:12" ht="13.5" customHeight="1" thickBot="1">
      <c r="E28" s="2"/>
      <c r="G28" s="2"/>
      <c r="H28" s="2"/>
      <c r="I28" s="43">
        <f>I20/I$13/3</f>
        <v>0</v>
      </c>
      <c r="J28" s="44">
        <f>J20/J$13/3</f>
        <v>0</v>
      </c>
      <c r="K28" s="44">
        <f>K20/K$13/3</f>
        <v>0</v>
      </c>
      <c r="L28" s="309">
        <f>L20/L$13/3</f>
        <v>0</v>
      </c>
    </row>
    <row r="29" spans="5:12" ht="13.5" customHeight="1">
      <c r="E29" s="2"/>
      <c r="H29" s="94" t="s">
        <v>86</v>
      </c>
      <c r="I29" s="9" t="s">
        <v>2</v>
      </c>
      <c r="J29" s="9" t="s">
        <v>3</v>
      </c>
      <c r="K29" s="9" t="s">
        <v>4</v>
      </c>
      <c r="L29" s="9" t="s">
        <v>0</v>
      </c>
    </row>
    <row r="30" spans="4:13" ht="13.5" customHeight="1">
      <c r="D30" s="339" t="s">
        <v>2</v>
      </c>
      <c r="E30" s="169"/>
      <c r="G30" s="481"/>
      <c r="H30" s="339" t="s">
        <v>2</v>
      </c>
      <c r="I30" s="423">
        <f aca="true" t="shared" si="0" ref="I30:L33">I22/I$13/3</f>
        <v>34862.94203808329</v>
      </c>
      <c r="J30" s="50">
        <f t="shared" si="0"/>
        <v>-333.3333333333333</v>
      </c>
      <c r="K30" s="51">
        <f t="shared" si="0"/>
        <v>-750</v>
      </c>
      <c r="L30" s="51">
        <f t="shared" si="0"/>
        <v>-2922</v>
      </c>
      <c r="M30" s="12" t="s">
        <v>2</v>
      </c>
    </row>
    <row r="31" spans="2:13" ht="13.5" customHeight="1">
      <c r="B31" s="3"/>
      <c r="D31" s="339" t="s">
        <v>3</v>
      </c>
      <c r="E31" s="214">
        <f>E23/E13</f>
        <v>80351.53797865685</v>
      </c>
      <c r="G31" s="482"/>
      <c r="H31" s="339" t="s">
        <v>3</v>
      </c>
      <c r="I31" s="424">
        <f t="shared" si="0"/>
        <v>-13391.922996442772</v>
      </c>
      <c r="J31" s="56">
        <f t="shared" si="0"/>
        <v>166.66666666666666</v>
      </c>
      <c r="K31" s="57">
        <f t="shared" si="0"/>
        <v>150</v>
      </c>
      <c r="L31" s="57">
        <f t="shared" si="0"/>
        <v>333.3333333333333</v>
      </c>
      <c r="M31" s="12" t="s">
        <v>3</v>
      </c>
    </row>
    <row r="32" spans="2:13" ht="13.5" customHeight="1">
      <c r="B32" s="3"/>
      <c r="D32" s="339" t="s">
        <v>4</v>
      </c>
      <c r="E32" s="214">
        <f>E24/E13</f>
        <v>73446.32768361582</v>
      </c>
      <c r="G32" s="483"/>
      <c r="H32" s="339" t="s">
        <v>4</v>
      </c>
      <c r="I32" s="425">
        <f t="shared" si="0"/>
        <v>-12241.054613935972</v>
      </c>
      <c r="J32" s="215">
        <f t="shared" si="0"/>
        <v>100</v>
      </c>
      <c r="K32" s="216">
        <f t="shared" si="0"/>
        <v>250</v>
      </c>
      <c r="L32" s="217">
        <f t="shared" si="0"/>
        <v>333.3333333333333</v>
      </c>
      <c r="M32" s="12" t="s">
        <v>4</v>
      </c>
    </row>
    <row r="33" spans="2:13" ht="13.5" customHeight="1" thickBot="1">
      <c r="B33" s="3"/>
      <c r="D33" s="339" t="s">
        <v>0</v>
      </c>
      <c r="E33" s="226"/>
      <c r="G33" s="484">
        <f>G25/G13/3</f>
        <v>-37825.995393706115</v>
      </c>
      <c r="H33" s="339" t="s">
        <v>0</v>
      </c>
      <c r="I33" s="426">
        <f t="shared" si="0"/>
        <v>-9229.964427704543</v>
      </c>
      <c r="J33" s="218">
        <f t="shared" si="0"/>
        <v>66.66666666666667</v>
      </c>
      <c r="K33" s="219">
        <f t="shared" si="0"/>
        <v>350</v>
      </c>
      <c r="L33" s="220">
        <f t="shared" si="0"/>
        <v>2255.3333333333335</v>
      </c>
      <c r="M33" s="12" t="s">
        <v>0</v>
      </c>
    </row>
    <row r="34" spans="7:12" ht="13.5" customHeight="1">
      <c r="G34" s="2"/>
      <c r="H34" s="2"/>
      <c r="I34" s="2"/>
      <c r="J34" s="2"/>
      <c r="K34" s="2"/>
      <c r="L34" s="2"/>
    </row>
    <row r="35" spans="2:22" ht="13.5" customHeight="1">
      <c r="B35" s="3"/>
      <c r="G35" s="2"/>
      <c r="H35" s="2"/>
      <c r="I35" s="2"/>
      <c r="J35" s="2"/>
      <c r="K35" s="2"/>
      <c r="L35" s="2"/>
      <c r="V35" s="2"/>
    </row>
    <row r="36" spans="2:22" ht="13.5" customHeight="1" thickBot="1">
      <c r="B36" s="3"/>
      <c r="G36" s="2"/>
      <c r="H36" s="2"/>
      <c r="I36" s="43">
        <f>I28</f>
        <v>0</v>
      </c>
      <c r="J36" s="44">
        <f>J28</f>
        <v>0</v>
      </c>
      <c r="K36" s="44">
        <f>K28</f>
        <v>0</v>
      </c>
      <c r="L36" s="309">
        <f>L28</f>
        <v>0</v>
      </c>
      <c r="V36" s="2"/>
    </row>
    <row r="37" spans="2:22" ht="13.5" customHeight="1">
      <c r="B37" s="3"/>
      <c r="H37" s="94" t="s">
        <v>87</v>
      </c>
      <c r="I37" s="9" t="s">
        <v>2</v>
      </c>
      <c r="J37" s="9" t="s">
        <v>3</v>
      </c>
      <c r="K37" s="9" t="s">
        <v>4</v>
      </c>
      <c r="L37" s="9" t="s">
        <v>0</v>
      </c>
      <c r="V37" s="3"/>
    </row>
    <row r="38" spans="2:13" ht="13.5" customHeight="1">
      <c r="B38" s="3"/>
      <c r="G38" s="481"/>
      <c r="H38" s="339" t="s">
        <v>2</v>
      </c>
      <c r="I38" s="423">
        <f>I30</f>
        <v>34862.94203808329</v>
      </c>
      <c r="J38" s="50">
        <f aca="true" t="shared" si="1" ref="J38:L41">J30</f>
        <v>-333.3333333333333</v>
      </c>
      <c r="K38" s="51">
        <f t="shared" si="1"/>
        <v>-750</v>
      </c>
      <c r="L38" s="51">
        <f t="shared" si="1"/>
        <v>-2922</v>
      </c>
      <c r="M38" s="12" t="s">
        <v>2</v>
      </c>
    </row>
    <row r="39" spans="2:13" ht="13.5" customHeight="1">
      <c r="B39" s="3"/>
      <c r="G39" s="482"/>
      <c r="H39" s="339" t="s">
        <v>3</v>
      </c>
      <c r="I39" s="424">
        <f>I31</f>
        <v>-13391.922996442772</v>
      </c>
      <c r="J39" s="56">
        <f t="shared" si="1"/>
        <v>166.66666666666666</v>
      </c>
      <c r="K39" s="57">
        <f t="shared" si="1"/>
        <v>150</v>
      </c>
      <c r="L39" s="57">
        <f t="shared" si="1"/>
        <v>333.3333333333333</v>
      </c>
      <c r="M39" s="12" t="s">
        <v>3</v>
      </c>
    </row>
    <row r="40" spans="1:22" ht="13.5" customHeight="1">
      <c r="A40" s="2"/>
      <c r="B40" s="3"/>
      <c r="C40" s="335" t="s">
        <v>138</v>
      </c>
      <c r="G40" s="483"/>
      <c r="H40" s="339" t="s">
        <v>4</v>
      </c>
      <c r="I40" s="425">
        <f>I32</f>
        <v>-12241.054613935972</v>
      </c>
      <c r="J40" s="215">
        <f t="shared" si="1"/>
        <v>100</v>
      </c>
      <c r="K40" s="216">
        <f t="shared" si="1"/>
        <v>250</v>
      </c>
      <c r="L40" s="217">
        <f t="shared" si="1"/>
        <v>333.3333333333333</v>
      </c>
      <c r="M40" s="12" t="s">
        <v>4</v>
      </c>
      <c r="V40" s="3"/>
    </row>
    <row r="41" spans="3:22" ht="13.5" customHeight="1" thickBot="1">
      <c r="C41" s="336" t="s">
        <v>140</v>
      </c>
      <c r="G41" s="484">
        <f>G33</f>
        <v>-37825.995393706115</v>
      </c>
      <c r="H41" s="339" t="s">
        <v>0</v>
      </c>
      <c r="I41" s="426">
        <f>I33</f>
        <v>-9229.964427704543</v>
      </c>
      <c r="J41" s="218">
        <f t="shared" si="1"/>
        <v>66.66666666666667</v>
      </c>
      <c r="K41" s="219">
        <f t="shared" si="1"/>
        <v>350</v>
      </c>
      <c r="L41" s="220">
        <f t="shared" si="1"/>
        <v>2255.3333333333335</v>
      </c>
      <c r="M41" s="12" t="s">
        <v>0</v>
      </c>
      <c r="V41" s="3"/>
    </row>
    <row r="42" spans="7:22" ht="13.5" customHeight="1">
      <c r="G42" s="2"/>
      <c r="H42" s="2"/>
      <c r="I42" s="2"/>
      <c r="J42" s="2"/>
      <c r="K42" s="2"/>
      <c r="L42" s="2"/>
      <c r="V42" s="3"/>
    </row>
    <row r="43" spans="2:12" ht="13.5" customHeight="1">
      <c r="B43" s="3"/>
      <c r="G43" s="2"/>
      <c r="H43" s="2"/>
      <c r="I43" s="2"/>
      <c r="J43" s="2"/>
      <c r="K43" s="2"/>
      <c r="L43" s="2"/>
    </row>
    <row r="44" spans="2:12" ht="13.5" customHeight="1" thickBot="1">
      <c r="B44" s="3"/>
      <c r="G44" s="2"/>
      <c r="H44" s="2"/>
      <c r="I44" s="43">
        <f>I36</f>
        <v>0</v>
      </c>
      <c r="J44" s="44">
        <f>J36</f>
        <v>0</v>
      </c>
      <c r="K44" s="44">
        <f>K36</f>
        <v>0</v>
      </c>
      <c r="L44" s="309">
        <f>L36</f>
        <v>0</v>
      </c>
    </row>
    <row r="45" spans="8:12" ht="13.5" customHeight="1">
      <c r="H45" s="94" t="s">
        <v>72</v>
      </c>
      <c r="I45" s="9" t="s">
        <v>2</v>
      </c>
      <c r="J45" s="9" t="s">
        <v>3</v>
      </c>
      <c r="K45" s="9" t="s">
        <v>4</v>
      </c>
      <c r="L45" s="9" t="s">
        <v>0</v>
      </c>
    </row>
    <row r="46" spans="7:13" ht="13.5" customHeight="1">
      <c r="G46" s="481"/>
      <c r="H46" s="339" t="s">
        <v>2</v>
      </c>
      <c r="I46" s="423">
        <f>I38</f>
        <v>34862.94203808329</v>
      </c>
      <c r="J46" s="50">
        <f aca="true" t="shared" si="2" ref="J46:L49">J38</f>
        <v>-333.3333333333333</v>
      </c>
      <c r="K46" s="51">
        <f t="shared" si="2"/>
        <v>-750</v>
      </c>
      <c r="L46" s="51">
        <f t="shared" si="2"/>
        <v>-2922</v>
      </c>
      <c r="M46" s="12" t="s">
        <v>2</v>
      </c>
    </row>
    <row r="47" spans="7:13" ht="13.5" customHeight="1">
      <c r="G47" s="482"/>
      <c r="H47" s="339" t="s">
        <v>3</v>
      </c>
      <c r="I47" s="424">
        <f>I39</f>
        <v>-13391.922996442772</v>
      </c>
      <c r="J47" s="56">
        <f t="shared" si="2"/>
        <v>166.66666666666666</v>
      </c>
      <c r="K47" s="57">
        <f t="shared" si="2"/>
        <v>150</v>
      </c>
      <c r="L47" s="57">
        <f t="shared" si="2"/>
        <v>333.3333333333333</v>
      </c>
      <c r="M47" s="12" t="s">
        <v>3</v>
      </c>
    </row>
    <row r="48" spans="3:13" ht="13.5" customHeight="1">
      <c r="C48" s="2"/>
      <c r="D48" s="2"/>
      <c r="G48" s="483"/>
      <c r="H48" s="339" t="s">
        <v>4</v>
      </c>
      <c r="I48" s="425">
        <f>I40</f>
        <v>-12241.054613935972</v>
      </c>
      <c r="J48" s="215">
        <f t="shared" si="2"/>
        <v>100</v>
      </c>
      <c r="K48" s="216">
        <f t="shared" si="2"/>
        <v>250</v>
      </c>
      <c r="L48" s="217">
        <f t="shared" si="2"/>
        <v>333.3333333333333</v>
      </c>
      <c r="M48" s="12" t="s">
        <v>4</v>
      </c>
    </row>
    <row r="49" spans="7:13" ht="13.5" customHeight="1" thickBot="1">
      <c r="G49" s="484">
        <f>G41</f>
        <v>-37825.995393706115</v>
      </c>
      <c r="H49" s="339" t="s">
        <v>0</v>
      </c>
      <c r="I49" s="426">
        <f>I41</f>
        <v>-9229.964427704543</v>
      </c>
      <c r="J49" s="218">
        <f t="shared" si="2"/>
        <v>66.66666666666667</v>
      </c>
      <c r="K49" s="219">
        <f t="shared" si="2"/>
        <v>350</v>
      </c>
      <c r="L49" s="220">
        <f t="shared" si="2"/>
        <v>2255.3333333333335</v>
      </c>
      <c r="M49" s="12" t="s">
        <v>0</v>
      </c>
    </row>
    <row r="50" spans="7:12" ht="13.5" customHeight="1">
      <c r="G50" s="2"/>
      <c r="H50" s="2"/>
      <c r="I50" s="2"/>
      <c r="J50" s="2"/>
      <c r="K50" s="2"/>
      <c r="L50" s="2"/>
    </row>
    <row r="51" spans="7:11" ht="13.5" customHeight="1">
      <c r="G51" s="2"/>
      <c r="H51" s="2"/>
      <c r="I51" s="2"/>
      <c r="J51" s="2"/>
      <c r="K51" s="2"/>
    </row>
    <row r="52" ht="13.5" customHeight="1" thickBot="1">
      <c r="L52" s="446">
        <f>Utility!M45/L13</f>
        <v>-10219.742864345546</v>
      </c>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5.75" customHeight="1"/>
    <row r="102" ht="15.75" customHeight="1"/>
    <row r="103" ht="15.75" customHeight="1"/>
    <row r="104" ht="15.75" customHeight="1"/>
    <row r="105" ht="15.75" customHeight="1"/>
    <row r="106" ht="15.75" customHeight="1"/>
    <row r="107" ht="15.75" customHeight="1"/>
    <row r="108" ht="15.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4"/>
  <drawing r:id="rId3"/>
  <legacyDrawing r:id="rId2"/>
  <oleObjects>
    <oleObject progId="Adobe Photoshop Image" shapeId="60523254" r:id="rId1"/>
  </oleObjects>
</worksheet>
</file>

<file path=xl/worksheets/sheet8.xml><?xml version="1.0" encoding="utf-8"?>
<worksheet xmlns="http://schemas.openxmlformats.org/spreadsheetml/2006/main" xmlns:r="http://schemas.openxmlformats.org/officeDocument/2006/relationships">
  <sheetPr codeName="Sheet2"/>
  <dimension ref="A1:A1"/>
  <sheetViews>
    <sheetView showGridLines="0" zoomScalePageLayoutView="0" workbookViewId="0" topLeftCell="A1">
      <selection activeCell="A1" sqref="A1"/>
    </sheetView>
  </sheetViews>
  <sheetFormatPr defaultColWidth="10.75390625" defaultRowHeight="13.5"/>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sheetPr codeName="Sheet6"/>
  <dimension ref="A1:A1"/>
  <sheetViews>
    <sheetView showGridLines="0" zoomScalePageLayoutView="0" workbookViewId="0" topLeftCell="A1">
      <selection activeCell="A1" sqref="A1"/>
    </sheetView>
  </sheetViews>
  <sheetFormatPr defaultColWidth="10.75390625" defaultRowHeight="13.5"/>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SFEcon</cp:lastModifiedBy>
  <dcterms:created xsi:type="dcterms:W3CDTF">2011-03-02T23:28:03Z</dcterms:created>
  <dcterms:modified xsi:type="dcterms:W3CDTF">2015-07-08T18:32:59Z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